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evinor\Documents\18-19 BUDGET\18-19 BOARD ADOPTED Budget 8-27-2018\"/>
    </mc:Choice>
  </mc:AlternateContent>
  <xr:revisionPtr revIDLastSave="0" documentId="13_ncr:1_{96F4900F-C153-4927-B1C1-FA14D86B0A95}" xr6:coauthVersionLast="34" xr6:coauthVersionMax="34" xr10:uidLastSave="{00000000-0000-0000-0000-000000000000}"/>
  <bookViews>
    <workbookView xWindow="120" yWindow="360" windowWidth="15120" windowHeight="7185" activeTab="8" xr2:uid="{00000000-000D-0000-FFFF-FFFF00000000}"/>
  </bookViews>
  <sheets>
    <sheet name="Cover" sheetId="10" r:id="rId1"/>
    <sheet name="comb funds by func" sheetId="1" r:id="rId2"/>
    <sheet name="Cover Supporting Sch" sheetId="11" r:id="rId3"/>
    <sheet name="GF by funct" sheetId="9" r:id="rId4"/>
    <sheet name="GF Rev by Obj" sheetId="2" r:id="rId5"/>
    <sheet name="GF exp by funct and maj obj" sheetId="3" r:id="rId6"/>
    <sheet name="GF Exp by Maj Obj" sheetId="4" r:id="rId7"/>
    <sheet name="FS Fund" sheetId="5" r:id="rId8"/>
    <sheet name="DS Fund" sheetId="6" r:id="rId9"/>
  </sheets>
  <definedNames>
    <definedName name="_xlnm.Print_Area" localSheetId="0">Cover!$A$1:$L$37</definedName>
    <definedName name="_xlnm.Print_Area" localSheetId="2">'Cover Supporting Sch'!$A$1:$L$37</definedName>
    <definedName name="_xlnm.Print_Area" localSheetId="8">'DS Fund'!$A$1:$I$44</definedName>
    <definedName name="_xlnm.Print_Area" localSheetId="7">'FS Fund'!$A$1:$I$51</definedName>
    <definedName name="_xlnm.Print_Area" localSheetId="3">'GF by funct'!$A$1:$G$52</definedName>
    <definedName name="_xlnm.Print_Area" localSheetId="5">'GF exp by funct and maj obj'!$A$1:$I$162</definedName>
    <definedName name="_xlnm.Print_Area" localSheetId="4">'GF Rev by Obj'!$A$1:$J$57</definedName>
    <definedName name="_xlnm.Print_Area">Cover!$A$4:$J$38</definedName>
  </definedNames>
  <calcPr calcId="17901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3" l="1"/>
  <c r="I37" i="6" l="1"/>
  <c r="E37" i="6"/>
  <c r="C37" i="6"/>
  <c r="G33" i="1"/>
  <c r="G13" i="1"/>
  <c r="G12" i="1"/>
  <c r="G11" i="1"/>
  <c r="G10" i="1"/>
  <c r="E12" i="1"/>
  <c r="I25" i="5"/>
  <c r="E13" i="1" s="1"/>
  <c r="I12" i="5"/>
  <c r="E11" i="1" s="1"/>
  <c r="E143" i="3"/>
  <c r="K143" i="3" s="1"/>
  <c r="E134" i="3"/>
  <c r="E127" i="3"/>
  <c r="E96" i="3"/>
  <c r="E81" i="3"/>
  <c r="G71" i="3"/>
  <c r="G64" i="3"/>
  <c r="E42" i="3"/>
  <c r="E35" i="3"/>
  <c r="E21" i="3"/>
  <c r="E12" i="4"/>
  <c r="E10" i="4"/>
  <c r="E9" i="4"/>
  <c r="E8" i="4"/>
  <c r="G13" i="4"/>
  <c r="I13" i="4" s="1"/>
  <c r="G12" i="4"/>
  <c r="G11" i="4"/>
  <c r="I11" i="4" s="1"/>
  <c r="G10" i="4"/>
  <c r="G9" i="4"/>
  <c r="F16" i="9"/>
  <c r="C17" i="1" s="1"/>
  <c r="E28" i="3"/>
  <c r="F13" i="3" s="1"/>
  <c r="E49" i="3"/>
  <c r="F21" i="9" s="1"/>
  <c r="C22" i="1" s="1"/>
  <c r="E61" i="3"/>
  <c r="F22" i="9" s="1"/>
  <c r="C23" i="1" s="1"/>
  <c r="E73" i="3"/>
  <c r="F24" i="9" s="1"/>
  <c r="E89" i="3"/>
  <c r="K89" i="3" s="1"/>
  <c r="C96" i="3"/>
  <c r="D27" i="9" s="1"/>
  <c r="E104" i="3"/>
  <c r="K104" i="3" s="1"/>
  <c r="E119" i="3"/>
  <c r="F29" i="9" s="1"/>
  <c r="C30" i="1" s="1"/>
  <c r="E139" i="3"/>
  <c r="E152" i="3"/>
  <c r="G152" i="3" s="1"/>
  <c r="E156" i="3"/>
  <c r="E160" i="3"/>
  <c r="C160" i="3"/>
  <c r="C143" i="3"/>
  <c r="C14" i="3"/>
  <c r="D16" i="9" s="1"/>
  <c r="C21" i="3"/>
  <c r="C28" i="3"/>
  <c r="D18" i="9" s="1"/>
  <c r="C35" i="3"/>
  <c r="C42" i="3"/>
  <c r="C49" i="3"/>
  <c r="D21" i="9" s="1"/>
  <c r="C61" i="3"/>
  <c r="D22" i="9" s="1"/>
  <c r="C68" i="3"/>
  <c r="D23" i="9" s="1"/>
  <c r="C73" i="3"/>
  <c r="D24" i="9" s="1"/>
  <c r="C81" i="3"/>
  <c r="D25" i="9" s="1"/>
  <c r="C89" i="3"/>
  <c r="D26" i="9" s="1"/>
  <c r="C104" i="3"/>
  <c r="C119" i="3"/>
  <c r="D29" i="9" s="1"/>
  <c r="C127" i="3"/>
  <c r="D30" i="9" s="1"/>
  <c r="C134" i="3"/>
  <c r="D31" i="9" s="1"/>
  <c r="C139" i="3"/>
  <c r="G139" i="3" s="1"/>
  <c r="C152" i="3"/>
  <c r="D35" i="9" s="1"/>
  <c r="C156" i="3"/>
  <c r="D36" i="9" s="1"/>
  <c r="G118" i="3"/>
  <c r="G138" i="3"/>
  <c r="C12" i="5"/>
  <c r="C18" i="5"/>
  <c r="C25" i="5"/>
  <c r="C35" i="5"/>
  <c r="C44" i="5"/>
  <c r="E25" i="5"/>
  <c r="E27" i="5" s="1"/>
  <c r="E39" i="5" s="1"/>
  <c r="E18" i="5"/>
  <c r="E12" i="5"/>
  <c r="E35" i="5"/>
  <c r="E44" i="5"/>
  <c r="E22" i="6"/>
  <c r="E28" i="6"/>
  <c r="E32" i="6"/>
  <c r="E41" i="6"/>
  <c r="C22" i="6"/>
  <c r="C28" i="6"/>
  <c r="C32" i="6"/>
  <c r="C41" i="6"/>
  <c r="C44" i="6" s="1"/>
  <c r="F32" i="9"/>
  <c r="C33" i="1" s="1"/>
  <c r="F12" i="9"/>
  <c r="F11" i="9"/>
  <c r="G11" i="9" s="1"/>
  <c r="F10" i="9"/>
  <c r="F9" i="9"/>
  <c r="G9" i="9" s="1"/>
  <c r="G13" i="9" s="1"/>
  <c r="C9" i="9"/>
  <c r="C10" i="9"/>
  <c r="C13" i="9" s="1"/>
  <c r="C42" i="9" s="1"/>
  <c r="C49" i="9" s="1"/>
  <c r="C52" i="9" s="1"/>
  <c r="C11" i="9"/>
  <c r="C12" i="9"/>
  <c r="C38" i="9"/>
  <c r="C47" i="9"/>
  <c r="D37" i="9"/>
  <c r="D28" i="9"/>
  <c r="D20" i="9"/>
  <c r="D19" i="9"/>
  <c r="D33" i="9"/>
  <c r="G33" i="9" s="1"/>
  <c r="D17" i="9"/>
  <c r="D12" i="9"/>
  <c r="D11" i="9"/>
  <c r="D10" i="9"/>
  <c r="D9" i="9"/>
  <c r="D13" i="9" s="1"/>
  <c r="G26" i="6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48" i="3"/>
  <c r="K148" i="3"/>
  <c r="E77" i="3"/>
  <c r="K77" i="3" s="1"/>
  <c r="K80" i="3"/>
  <c r="K71" i="3"/>
  <c r="C148" i="3"/>
  <c r="C77" i="3"/>
  <c r="G77" i="3" s="1"/>
  <c r="H49" i="2"/>
  <c r="F45" i="9" s="1"/>
  <c r="G56" i="1"/>
  <c r="G55" i="1"/>
  <c r="G57" i="1" s="1"/>
  <c r="G14" i="1"/>
  <c r="G43" i="1" s="1"/>
  <c r="G52" i="1" s="1"/>
  <c r="G59" i="1" s="1"/>
  <c r="G39" i="1"/>
  <c r="G48" i="1"/>
  <c r="E55" i="1"/>
  <c r="E57" i="1" s="1"/>
  <c r="I28" i="6"/>
  <c r="E49" i="2"/>
  <c r="D45" i="9" s="1"/>
  <c r="D47" i="9" s="1"/>
  <c r="G46" i="9"/>
  <c r="G49" i="2"/>
  <c r="E45" i="9"/>
  <c r="I46" i="2"/>
  <c r="C56" i="1"/>
  <c r="C34" i="1"/>
  <c r="I47" i="2"/>
  <c r="I45" i="2"/>
  <c r="I37" i="2"/>
  <c r="I38" i="2"/>
  <c r="I39" i="2"/>
  <c r="I40" i="2"/>
  <c r="I36" i="2"/>
  <c r="I42" i="2" s="1"/>
  <c r="I28" i="2"/>
  <c r="I29" i="2"/>
  <c r="I30" i="2"/>
  <c r="I31" i="2"/>
  <c r="I27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9" i="2"/>
  <c r="I8" i="2"/>
  <c r="I24" i="2" s="1"/>
  <c r="E9" i="9"/>
  <c r="G24" i="2"/>
  <c r="E10" i="9" s="1"/>
  <c r="G33" i="2"/>
  <c r="G51" i="2" s="1"/>
  <c r="G42" i="2"/>
  <c r="E12" i="9" s="1"/>
  <c r="E47" i="9"/>
  <c r="H33" i="2"/>
  <c r="H42" i="2"/>
  <c r="C13" i="1" s="1"/>
  <c r="G12" i="9"/>
  <c r="H24" i="2"/>
  <c r="C10" i="1"/>
  <c r="C11" i="1" s="1"/>
  <c r="C14" i="1" s="1"/>
  <c r="C12" i="1"/>
  <c r="D49" i="2"/>
  <c r="D42" i="2"/>
  <c r="D33" i="2"/>
  <c r="D24" i="2"/>
  <c r="D51" i="2"/>
  <c r="E24" i="2"/>
  <c r="E33" i="2"/>
  <c r="E42" i="2"/>
  <c r="E51" i="2"/>
  <c r="F49" i="2"/>
  <c r="F42" i="2"/>
  <c r="F51" i="2" s="1"/>
  <c r="F33" i="2"/>
  <c r="F24" i="2"/>
  <c r="I33" i="2"/>
  <c r="I49" i="2"/>
  <c r="C24" i="2"/>
  <c r="C33" i="2"/>
  <c r="C42" i="2"/>
  <c r="C49" i="2"/>
  <c r="C51" i="2"/>
  <c r="G44" i="5"/>
  <c r="G12" i="5"/>
  <c r="G18" i="5"/>
  <c r="G27" i="5" s="1"/>
  <c r="G25" i="5"/>
  <c r="G35" i="5"/>
  <c r="D55" i="1"/>
  <c r="D57" i="1"/>
  <c r="K139" i="3"/>
  <c r="K138" i="3"/>
  <c r="K137" i="3"/>
  <c r="G137" i="3"/>
  <c r="G60" i="3"/>
  <c r="C112" i="3"/>
  <c r="C111" i="3"/>
  <c r="C110" i="3"/>
  <c r="C57" i="3"/>
  <c r="C56" i="3"/>
  <c r="C55" i="3"/>
  <c r="K77" i="5"/>
  <c r="K78" i="5"/>
  <c r="G76" i="3"/>
  <c r="K83" i="2"/>
  <c r="K84" i="2"/>
  <c r="K115" i="5"/>
  <c r="K121" i="2"/>
  <c r="K76" i="3"/>
  <c r="G117" i="3"/>
  <c r="G13" i="3"/>
  <c r="E111" i="3"/>
  <c r="E112" i="3"/>
  <c r="E110" i="3"/>
  <c r="E56" i="3"/>
  <c r="E57" i="3"/>
  <c r="E55" i="3"/>
  <c r="K147" i="3"/>
  <c r="K84" i="3"/>
  <c r="K159" i="3"/>
  <c r="K155" i="3"/>
  <c r="K151" i="3"/>
  <c r="K146" i="3"/>
  <c r="K133" i="3"/>
  <c r="K132" i="3"/>
  <c r="K131" i="3"/>
  <c r="K126" i="3"/>
  <c r="K125" i="3"/>
  <c r="K124" i="3"/>
  <c r="K123" i="3"/>
  <c r="K122" i="3"/>
  <c r="K116" i="3"/>
  <c r="K115" i="3"/>
  <c r="K114" i="3"/>
  <c r="K103" i="3"/>
  <c r="K102" i="3"/>
  <c r="K101" i="3"/>
  <c r="K100" i="3"/>
  <c r="K99" i="3"/>
  <c r="K95" i="3"/>
  <c r="K94" i="3"/>
  <c r="K93" i="3"/>
  <c r="K88" i="3"/>
  <c r="K87" i="3"/>
  <c r="K86" i="3"/>
  <c r="K85" i="3"/>
  <c r="K67" i="3"/>
  <c r="K66" i="3"/>
  <c r="K65" i="3"/>
  <c r="K59" i="3"/>
  <c r="K48" i="3"/>
  <c r="K47" i="3"/>
  <c r="K46" i="3"/>
  <c r="K45" i="3"/>
  <c r="K41" i="3"/>
  <c r="K40" i="3"/>
  <c r="K39" i="3"/>
  <c r="K38" i="3"/>
  <c r="K34" i="3"/>
  <c r="K33" i="3"/>
  <c r="K32" i="3"/>
  <c r="K31" i="3"/>
  <c r="K27" i="3"/>
  <c r="K26" i="3"/>
  <c r="K25" i="3"/>
  <c r="K24" i="3"/>
  <c r="K20" i="3"/>
  <c r="K19" i="3"/>
  <c r="K18" i="3"/>
  <c r="K17" i="3"/>
  <c r="K10" i="3"/>
  <c r="K11" i="3"/>
  <c r="K12" i="3"/>
  <c r="K13" i="3"/>
  <c r="K9" i="3"/>
  <c r="L42" i="2"/>
  <c r="L33" i="2"/>
  <c r="L24" i="2"/>
  <c r="L51" i="2"/>
  <c r="A107" i="3"/>
  <c r="A52" i="3"/>
  <c r="K72" i="3"/>
  <c r="E48" i="1"/>
  <c r="C48" i="1"/>
  <c r="G37" i="6"/>
  <c r="G22" i="6"/>
  <c r="I22" i="6"/>
  <c r="J13" i="6" s="1"/>
  <c r="G28" i="6"/>
  <c r="G32" i="6" s="1"/>
  <c r="G41" i="6" s="1"/>
  <c r="I18" i="5"/>
  <c r="I44" i="5"/>
  <c r="I35" i="5"/>
  <c r="J32" i="5" s="1"/>
  <c r="J30" i="5"/>
  <c r="C15" i="4"/>
  <c r="G159" i="3"/>
  <c r="G155" i="3"/>
  <c r="G151" i="3"/>
  <c r="G146" i="3"/>
  <c r="G133" i="3"/>
  <c r="G131" i="3"/>
  <c r="G132" i="3"/>
  <c r="G130" i="3"/>
  <c r="G123" i="3"/>
  <c r="G124" i="3"/>
  <c r="G125" i="3"/>
  <c r="G122" i="3"/>
  <c r="G116" i="3"/>
  <c r="G115" i="3"/>
  <c r="G114" i="3"/>
  <c r="G100" i="3"/>
  <c r="G101" i="3"/>
  <c r="G102" i="3"/>
  <c r="G103" i="3"/>
  <c r="G99" i="3"/>
  <c r="G95" i="3"/>
  <c r="G94" i="3"/>
  <c r="G93" i="3"/>
  <c r="G92" i="3"/>
  <c r="G88" i="3"/>
  <c r="G87" i="3"/>
  <c r="G86" i="3"/>
  <c r="G85" i="3"/>
  <c r="G84" i="3"/>
  <c r="G72" i="3"/>
  <c r="G67" i="3"/>
  <c r="G66" i="3"/>
  <c r="G65" i="3"/>
  <c r="G59" i="3"/>
  <c r="G48" i="3"/>
  <c r="G47" i="3"/>
  <c r="G46" i="3"/>
  <c r="G41" i="3"/>
  <c r="G40" i="3"/>
  <c r="G39" i="3"/>
  <c r="G34" i="3"/>
  <c r="G33" i="3"/>
  <c r="G32" i="3"/>
  <c r="G27" i="3"/>
  <c r="G26" i="3"/>
  <c r="G24" i="3"/>
  <c r="G20" i="3"/>
  <c r="G19" i="3"/>
  <c r="G18" i="3"/>
  <c r="G17" i="3"/>
  <c r="G10" i="3"/>
  <c r="G11" i="3"/>
  <c r="G12" i="3"/>
  <c r="G45" i="3"/>
  <c r="G38" i="3"/>
  <c r="G25" i="3"/>
  <c r="G9" i="3"/>
  <c r="K152" i="3"/>
  <c r="K61" i="3"/>
  <c r="J29" i="2"/>
  <c r="E39" i="1"/>
  <c r="K156" i="3"/>
  <c r="K28" i="3"/>
  <c r="J28" i="6"/>
  <c r="J25" i="6"/>
  <c r="J26" i="6"/>
  <c r="J27" i="6"/>
  <c r="K14" i="3"/>
  <c r="G10" i="9"/>
  <c r="F13" i="9"/>
  <c r="H51" i="2"/>
  <c r="J35" i="5"/>
  <c r="J31" i="5"/>
  <c r="G61" i="3"/>
  <c r="G21" i="3"/>
  <c r="F36" i="9"/>
  <c r="F28" i="3"/>
  <c r="F37" i="9"/>
  <c r="C38" i="1" s="1"/>
  <c r="G148" i="3"/>
  <c r="F19" i="3"/>
  <c r="F18" i="9"/>
  <c r="C19" i="1" s="1"/>
  <c r="G49" i="3"/>
  <c r="K160" i="3"/>
  <c r="F11" i="3"/>
  <c r="J12" i="6"/>
  <c r="J22" i="6"/>
  <c r="J14" i="6"/>
  <c r="K81" i="3"/>
  <c r="K21" i="3"/>
  <c r="G14" i="3"/>
  <c r="G37" i="9"/>
  <c r="C27" i="5" l="1"/>
  <c r="C39" i="5" s="1"/>
  <c r="C48" i="5" s="1"/>
  <c r="C51" i="5" s="1"/>
  <c r="E50" i="5" s="1"/>
  <c r="E51" i="5" s="1"/>
  <c r="I50" i="5" s="1"/>
  <c r="E61" i="1" s="1"/>
  <c r="E48" i="5"/>
  <c r="J34" i="5"/>
  <c r="J33" i="5"/>
  <c r="G39" i="5"/>
  <c r="G48" i="5" s="1"/>
  <c r="E14" i="1"/>
  <c r="E43" i="1" s="1"/>
  <c r="E52" i="1" s="1"/>
  <c r="I27" i="5"/>
  <c r="J18" i="5" s="1"/>
  <c r="C162" i="3"/>
  <c r="F35" i="9"/>
  <c r="C36" i="1" s="1"/>
  <c r="F28" i="9"/>
  <c r="G28" i="9" s="1"/>
  <c r="G104" i="3"/>
  <c r="F26" i="9"/>
  <c r="C27" i="1" s="1"/>
  <c r="G89" i="3"/>
  <c r="K73" i="3"/>
  <c r="G22" i="9"/>
  <c r="K49" i="3"/>
  <c r="G16" i="9"/>
  <c r="I12" i="4"/>
  <c r="E68" i="3"/>
  <c r="G68" i="3" s="1"/>
  <c r="G26" i="9"/>
  <c r="F26" i="3"/>
  <c r="F24" i="3"/>
  <c r="K64" i="3"/>
  <c r="K130" i="3"/>
  <c r="E38" i="9"/>
  <c r="D32" i="9"/>
  <c r="G32" i="9" s="1"/>
  <c r="I10" i="4"/>
  <c r="F34" i="9"/>
  <c r="E15" i="4"/>
  <c r="F22" i="3"/>
  <c r="G28" i="3"/>
  <c r="F23" i="3"/>
  <c r="F10" i="3"/>
  <c r="F16" i="3"/>
  <c r="F17" i="3"/>
  <c r="G31" i="3"/>
  <c r="K92" i="3"/>
  <c r="G156" i="3"/>
  <c r="K35" i="3"/>
  <c r="G35" i="3"/>
  <c r="F19" i="9"/>
  <c r="K134" i="3"/>
  <c r="F31" i="9"/>
  <c r="G134" i="3"/>
  <c r="G96" i="3"/>
  <c r="K96" i="3"/>
  <c r="F27" i="9"/>
  <c r="G119" i="3"/>
  <c r="G73" i="3"/>
  <c r="C29" i="1"/>
  <c r="G21" i="9"/>
  <c r="G160" i="3"/>
  <c r="G8" i="4"/>
  <c r="I8" i="4" s="1"/>
  <c r="K119" i="3"/>
  <c r="G35" i="9"/>
  <c r="I9" i="4"/>
  <c r="G44" i="6"/>
  <c r="G50" i="5"/>
  <c r="G51" i="5" s="1"/>
  <c r="J22" i="5"/>
  <c r="J9" i="5"/>
  <c r="J25" i="5"/>
  <c r="J27" i="5"/>
  <c r="J23" i="5"/>
  <c r="J12" i="5"/>
  <c r="J15" i="5"/>
  <c r="D38" i="9"/>
  <c r="D42" i="9" s="1"/>
  <c r="D49" i="9" s="1"/>
  <c r="D52" i="9" s="1"/>
  <c r="F20" i="9"/>
  <c r="G42" i="3"/>
  <c r="C37" i="1"/>
  <c r="G36" i="9"/>
  <c r="K42" i="3"/>
  <c r="I51" i="2"/>
  <c r="G45" i="9"/>
  <c r="G47" i="9" s="1"/>
  <c r="C55" i="1"/>
  <c r="C57" i="1" s="1"/>
  <c r="F47" i="9"/>
  <c r="G24" i="9"/>
  <c r="C25" i="1"/>
  <c r="F17" i="9"/>
  <c r="G81" i="3"/>
  <c r="F25" i="9"/>
  <c r="J16" i="5"/>
  <c r="G18" i="9"/>
  <c r="G29" i="9"/>
  <c r="J10" i="5"/>
  <c r="E59" i="1"/>
  <c r="E51" i="9"/>
  <c r="E52" i="9" s="1"/>
  <c r="F51" i="9" s="1"/>
  <c r="C61" i="1" s="1"/>
  <c r="D51" i="9"/>
  <c r="E43" i="6"/>
  <c r="E44" i="6" s="1"/>
  <c r="I43" i="6" s="1"/>
  <c r="G61" i="1" s="1"/>
  <c r="G62" i="1" s="1"/>
  <c r="G43" i="6"/>
  <c r="F30" i="9"/>
  <c r="K127" i="3"/>
  <c r="G127" i="3"/>
  <c r="I32" i="6"/>
  <c r="I41" i="6" s="1"/>
  <c r="J11" i="6"/>
  <c r="J20" i="6"/>
  <c r="E11" i="9"/>
  <c r="E13" i="9" s="1"/>
  <c r="E42" i="9" s="1"/>
  <c r="G80" i="3"/>
  <c r="J17" i="6"/>
  <c r="J21" i="5" l="1"/>
  <c r="I39" i="5"/>
  <c r="I48" i="5" s="1"/>
  <c r="I51" i="5" s="1"/>
  <c r="F23" i="9"/>
  <c r="G34" i="9"/>
  <c r="C35" i="1"/>
  <c r="E162" i="3"/>
  <c r="I42" i="3" s="1"/>
  <c r="K68" i="3"/>
  <c r="C24" i="1"/>
  <c r="G23" i="9"/>
  <c r="G19" i="9"/>
  <c r="C20" i="1"/>
  <c r="G15" i="4"/>
  <c r="K8" i="4" s="1"/>
  <c r="G27" i="9"/>
  <c r="C28" i="1"/>
  <c r="G31" i="9"/>
  <c r="C32" i="1"/>
  <c r="I44" i="6"/>
  <c r="G25" i="9"/>
  <c r="C26" i="1"/>
  <c r="C21" i="1"/>
  <c r="G20" i="9"/>
  <c r="C31" i="1"/>
  <c r="G30" i="9"/>
  <c r="C18" i="1"/>
  <c r="F38" i="9"/>
  <c r="F42" i="9" s="1"/>
  <c r="F49" i="9" s="1"/>
  <c r="F52" i="9" s="1"/>
  <c r="G17" i="9"/>
  <c r="E62" i="1"/>
  <c r="I49" i="3" l="1"/>
  <c r="I142" i="3"/>
  <c r="I130" i="3"/>
  <c r="I68" i="3"/>
  <c r="I156" i="3"/>
  <c r="I13" i="3"/>
  <c r="I103" i="3"/>
  <c r="I65" i="3"/>
  <c r="I76" i="3"/>
  <c r="I96" i="3"/>
  <c r="I28" i="3"/>
  <c r="I64" i="3"/>
  <c r="I124" i="3"/>
  <c r="I159" i="3"/>
  <c r="I21" i="3"/>
  <c r="I71" i="3"/>
  <c r="I39" i="3"/>
  <c r="I104" i="3"/>
  <c r="I86" i="3"/>
  <c r="I45" i="3"/>
  <c r="I95" i="3"/>
  <c r="I87" i="3"/>
  <c r="I11" i="3"/>
  <c r="I152" i="3"/>
  <c r="I146" i="3"/>
  <c r="I125" i="3"/>
  <c r="I12" i="3"/>
  <c r="I138" i="3"/>
  <c r="I160" i="3"/>
  <c r="I115" i="3"/>
  <c r="I84" i="3"/>
  <c r="I85" i="3"/>
  <c r="I100" i="3"/>
  <c r="I117" i="3"/>
  <c r="I33" i="3"/>
  <c r="I101" i="3"/>
  <c r="I34" i="3"/>
  <c r="I114" i="3"/>
  <c r="I162" i="3"/>
  <c r="I143" i="3"/>
  <c r="I77" i="3"/>
  <c r="I48" i="3"/>
  <c r="I102" i="3"/>
  <c r="I35" i="3"/>
  <c r="I9" i="3"/>
  <c r="I32" i="3"/>
  <c r="I131" i="3"/>
  <c r="C39" i="1"/>
  <c r="C43" i="1" s="1"/>
  <c r="C52" i="1" s="1"/>
  <c r="C59" i="1" s="1"/>
  <c r="C62" i="1" s="1"/>
  <c r="I126" i="3"/>
  <c r="I94" i="3"/>
  <c r="I122" i="3"/>
  <c r="I118" i="3"/>
  <c r="I139" i="3"/>
  <c r="I18" i="3"/>
  <c r="I155" i="3"/>
  <c r="I134" i="3"/>
  <c r="I93" i="3"/>
  <c r="I92" i="3"/>
  <c r="I14" i="3"/>
  <c r="I61" i="3"/>
  <c r="I38" i="3"/>
  <c r="I89" i="3"/>
  <c r="I41" i="3"/>
  <c r="I147" i="3"/>
  <c r="I67" i="3"/>
  <c r="I132" i="3"/>
  <c r="I80" i="3"/>
  <c r="I72" i="3"/>
  <c r="I88" i="3"/>
  <c r="I46" i="3"/>
  <c r="I99" i="3"/>
  <c r="I81" i="3"/>
  <c r="I127" i="3"/>
  <c r="I19" i="3"/>
  <c r="I123" i="3"/>
  <c r="I10" i="3"/>
  <c r="I20" i="3"/>
  <c r="I66" i="3"/>
  <c r="K162" i="3"/>
  <c r="I148" i="3"/>
  <c r="I119" i="3"/>
  <c r="I26" i="3"/>
  <c r="I25" i="3"/>
  <c r="I137" i="3"/>
  <c r="I27" i="3"/>
  <c r="I73" i="3"/>
  <c r="I31" i="3"/>
  <c r="G162" i="3"/>
  <c r="I24" i="3"/>
  <c r="I151" i="3"/>
  <c r="I60" i="3"/>
  <c r="I133" i="3"/>
  <c r="I116" i="3"/>
  <c r="I40" i="3"/>
  <c r="I59" i="3"/>
  <c r="I17" i="3"/>
  <c r="I47" i="3"/>
  <c r="K9" i="4"/>
  <c r="K12" i="4"/>
  <c r="I15" i="4"/>
  <c r="K11" i="4"/>
  <c r="K13" i="4"/>
  <c r="K10" i="4"/>
  <c r="G38" i="9"/>
  <c r="G42" i="9" s="1"/>
  <c r="G49" i="9" s="1"/>
  <c r="K15" i="4" l="1"/>
</calcChain>
</file>

<file path=xl/sharedStrings.xml><?xml version="1.0" encoding="utf-8"?>
<sst xmlns="http://schemas.openxmlformats.org/spreadsheetml/2006/main" count="445" uniqueCount="219">
  <si>
    <t>Lewisville Independent School District</t>
  </si>
  <si>
    <t>Audited</t>
  </si>
  <si>
    <t>Budget</t>
  </si>
  <si>
    <t>Revenues</t>
  </si>
  <si>
    <t>Expenditures</t>
  </si>
  <si>
    <t>Instruction</t>
  </si>
  <si>
    <t>Instructional Resources &amp; Media Services</t>
  </si>
  <si>
    <t>Curriculum &amp; Staff Development</t>
  </si>
  <si>
    <t>Instruction Leadership</t>
  </si>
  <si>
    <t>School Leadership</t>
  </si>
  <si>
    <t>Guidance, Counseling, &amp; Evaluation Services</t>
  </si>
  <si>
    <t>Social Work Services</t>
  </si>
  <si>
    <t>Health Services</t>
  </si>
  <si>
    <t>Student Transportation</t>
  </si>
  <si>
    <t>Food Service</t>
  </si>
  <si>
    <t>Cocurricular/Extracurricular Activities</t>
  </si>
  <si>
    <t>General Administration</t>
  </si>
  <si>
    <t>Plant Maintenance and Operations</t>
  </si>
  <si>
    <t>Security and Monitoring Services</t>
  </si>
  <si>
    <t>Data Processing Services</t>
  </si>
  <si>
    <t>Community Services</t>
  </si>
  <si>
    <t>Debt Service</t>
  </si>
  <si>
    <t>Facilities Acquisition and Construction</t>
  </si>
  <si>
    <t>Payments to Fiscal Agents/Shared Service</t>
  </si>
  <si>
    <t>Other Intergovernmental Charges</t>
  </si>
  <si>
    <t xml:space="preserve">    Total Expenditures</t>
  </si>
  <si>
    <t>Excess(Deficiencies)</t>
  </si>
  <si>
    <t>Revenue over Expenditures</t>
  </si>
  <si>
    <t>Other Financing Resources ( Uses)</t>
  </si>
  <si>
    <t xml:space="preserve">  Other Resources</t>
  </si>
  <si>
    <t xml:space="preserve">  Other Uses</t>
  </si>
  <si>
    <t xml:space="preserve">    Total Other Financing Resources (Uses)</t>
  </si>
  <si>
    <t>Other Financial Resources Over Expenditures</t>
  </si>
  <si>
    <t>and Other Financial Uses</t>
  </si>
  <si>
    <t>Fund Balance, beginning, 9/1</t>
  </si>
  <si>
    <t xml:space="preserve">   Fund Balance, ending, 8/31</t>
  </si>
  <si>
    <t>Property Tax Revenue</t>
  </si>
  <si>
    <t>Other Local Revenue</t>
  </si>
  <si>
    <t>State Revenue</t>
  </si>
  <si>
    <t>Combined Funds - General, Food Service, and Debt Service</t>
  </si>
  <si>
    <t>General</t>
  </si>
  <si>
    <t>Fund</t>
  </si>
  <si>
    <t>Federal Revenue</t>
  </si>
  <si>
    <t>Other Resources</t>
  </si>
  <si>
    <t>Projected</t>
  </si>
  <si>
    <t>Actual</t>
  </si>
  <si>
    <t>General Fund Revenue by Object</t>
  </si>
  <si>
    <t>Expenditure Summary by Major Object within Function</t>
  </si>
  <si>
    <t>Percent</t>
  </si>
  <si>
    <t>Increase</t>
  </si>
  <si>
    <t>(Decrease)</t>
  </si>
  <si>
    <t>of Total</t>
  </si>
  <si>
    <t>11 - Instruction</t>
  </si>
  <si>
    <t>6100 Payroll costs</t>
  </si>
  <si>
    <t>6200 Purchased and contracted services</t>
  </si>
  <si>
    <t>6300 Supplies and materials</t>
  </si>
  <si>
    <t>6400 Other operating expenditures</t>
  </si>
  <si>
    <t>6600 Capital outlay</t>
  </si>
  <si>
    <t>Total Function 11</t>
  </si>
  <si>
    <t>12 - Instructional resources and media</t>
  </si>
  <si>
    <t>Total Function 12</t>
  </si>
  <si>
    <t>13 - Curriculum &amp; Staff Development</t>
  </si>
  <si>
    <t>Total Function 13</t>
  </si>
  <si>
    <t>21 - Instructional Leadership</t>
  </si>
  <si>
    <t>Total Function 21</t>
  </si>
  <si>
    <t>23 - School Leadership</t>
  </si>
  <si>
    <t>Total Function 23</t>
  </si>
  <si>
    <t>31 - Guidance, Counseling &amp; Eval.</t>
  </si>
  <si>
    <t>6300 Supplies and Materials</t>
  </si>
  <si>
    <t>Total Function 31</t>
  </si>
  <si>
    <t>32 - Social Work Services</t>
  </si>
  <si>
    <t>Total Function 32</t>
  </si>
  <si>
    <t>33 - Health Services</t>
  </si>
  <si>
    <t>Total Function 33</t>
  </si>
  <si>
    <t>34 - Student Transportation</t>
  </si>
  <si>
    <t>Total Function 34</t>
  </si>
  <si>
    <t>36 - Cocurricular/Extra curricular</t>
  </si>
  <si>
    <t>Total Function 36</t>
  </si>
  <si>
    <t>41 - General Administration</t>
  </si>
  <si>
    <t>Total Function 41</t>
  </si>
  <si>
    <t>6100 Payroll Costs</t>
  </si>
  <si>
    <t>Total Function 51</t>
  </si>
  <si>
    <t>52 - Security &amp; Monitoring</t>
  </si>
  <si>
    <t>Total Function 52</t>
  </si>
  <si>
    <t>53 - Data Processing</t>
  </si>
  <si>
    <t>Total Function 53</t>
  </si>
  <si>
    <t>61 - Community Services</t>
  </si>
  <si>
    <t>Total Function 61</t>
  </si>
  <si>
    <t>Total Function 81</t>
  </si>
  <si>
    <t>93 - Payments to Fiscal Agent Shared Service</t>
  </si>
  <si>
    <t>6400 Other Operating Expenditures</t>
  </si>
  <si>
    <t>Total Function 93</t>
  </si>
  <si>
    <t>Total Function 95</t>
  </si>
  <si>
    <t>99 - Other Intergovernmental Charges</t>
  </si>
  <si>
    <t>Total Function 99</t>
  </si>
  <si>
    <t>Total Expenditures</t>
  </si>
  <si>
    <t>Total Function 35</t>
  </si>
  <si>
    <t>35 - Food Service</t>
  </si>
  <si>
    <t>Expenditure Summary by Major Object</t>
  </si>
  <si>
    <t>61XX</t>
  </si>
  <si>
    <t>Payroll costs</t>
  </si>
  <si>
    <t>62XX</t>
  </si>
  <si>
    <t>Purchased &amp; cont. serv.</t>
  </si>
  <si>
    <t>63XX</t>
  </si>
  <si>
    <t>Supplies &amp; Materials</t>
  </si>
  <si>
    <t>64XX</t>
  </si>
  <si>
    <t>Other operating expend.</t>
  </si>
  <si>
    <t>66XX</t>
  </si>
  <si>
    <t>Capital Outlay</t>
  </si>
  <si>
    <t>Food Service Fund</t>
  </si>
  <si>
    <t>Food Service Activity</t>
  </si>
  <si>
    <t>Other</t>
  </si>
  <si>
    <t>Program Revenue Distributed by TEA</t>
  </si>
  <si>
    <t>TRS on Behalf</t>
  </si>
  <si>
    <t>Total Local Revenues</t>
  </si>
  <si>
    <t>Total State Revenues</t>
  </si>
  <si>
    <t>Local Revenues</t>
  </si>
  <si>
    <t>State Revenues</t>
  </si>
  <si>
    <t>Federal Breakfast Reimbursement</t>
  </si>
  <si>
    <t>Federal Lunch Reimbursement</t>
  </si>
  <si>
    <t>USDA Commodities</t>
  </si>
  <si>
    <t>Total Federal Revenues</t>
  </si>
  <si>
    <t>Payroll</t>
  </si>
  <si>
    <t>Contracted Services</t>
  </si>
  <si>
    <t>Supplies and Materials</t>
  </si>
  <si>
    <t>Other Operating Costs</t>
  </si>
  <si>
    <t>Debt Service Fund</t>
  </si>
  <si>
    <t>Current Property Tax Collections</t>
  </si>
  <si>
    <t>Delinquent Property Tax Collections</t>
  </si>
  <si>
    <t>Penalties and Interest</t>
  </si>
  <si>
    <t>Interest Earnings</t>
  </si>
  <si>
    <t>Principal on Bonds</t>
  </si>
  <si>
    <t>Interest on Bonds</t>
  </si>
  <si>
    <t>Other Debt Service Fees</t>
  </si>
  <si>
    <t>Current Tax Collections</t>
  </si>
  <si>
    <t>Delinquent Tax Collections</t>
  </si>
  <si>
    <t>Tuition and Fees Local Sources</t>
  </si>
  <si>
    <t>Rent</t>
  </si>
  <si>
    <t>Revenue from Foundations</t>
  </si>
  <si>
    <t>Insurance Recovery</t>
  </si>
  <si>
    <t>Athletic Activity</t>
  </si>
  <si>
    <t>Enterprising Services Revenue</t>
  </si>
  <si>
    <t>Cocurricular Enterprising Services</t>
  </si>
  <si>
    <t>Sale of Real Property</t>
  </si>
  <si>
    <t>Impact Aid</t>
  </si>
  <si>
    <t>Federal Rev Dist by State</t>
  </si>
  <si>
    <t>School Health Related Services</t>
  </si>
  <si>
    <t>Per Capita Apportionment</t>
  </si>
  <si>
    <t>Other Foundation Sch Prog Act</t>
  </si>
  <si>
    <t>Proposed Budget              FY 12-13</t>
  </si>
  <si>
    <t>General Fund</t>
  </si>
  <si>
    <t>Adopted Budget       FY11-12</t>
  </si>
  <si>
    <t>Proposed</t>
  </si>
  <si>
    <t>Federal Revenues</t>
  </si>
  <si>
    <t>Federal Program Revenues</t>
  </si>
  <si>
    <t>Adopted Budget</t>
  </si>
  <si>
    <t>Proposed Budget</t>
  </si>
  <si>
    <t>Over Expenditures</t>
  </si>
  <si>
    <t>Adopted Bdgt</t>
  </si>
  <si>
    <t>81 - Facilities Acquisition &amp; Construction</t>
  </si>
  <si>
    <t>Projected Actual</t>
  </si>
  <si>
    <t>Net Change in Fund Balance</t>
  </si>
  <si>
    <t>Proceeds from Capital Leases</t>
  </si>
  <si>
    <t>71 - Debt Service</t>
  </si>
  <si>
    <t>6500 Debt Service</t>
  </si>
  <si>
    <t>Total Other Resources</t>
  </si>
  <si>
    <t>Foundation School Prog Revenue</t>
  </si>
  <si>
    <t>2016-17</t>
  </si>
  <si>
    <t>Operating Transfers In</t>
  </si>
  <si>
    <t>Projected Actual             FY 16-17</t>
  </si>
  <si>
    <t>As Of 7/21/17</t>
  </si>
  <si>
    <t>Total Function 71</t>
  </si>
  <si>
    <t>LHS SCOREBOARD</t>
  </si>
  <si>
    <t xml:space="preserve">Tax Appraisal &amp; Collections </t>
  </si>
  <si>
    <t>FY 2016-17</t>
  </si>
  <si>
    <t>FY 2017-18</t>
  </si>
  <si>
    <t>Change from</t>
  </si>
  <si>
    <t>Budget to</t>
  </si>
  <si>
    <t>Proposed Tax Rate</t>
  </si>
  <si>
    <t>Adopted Budget              FY 2017-18</t>
  </si>
  <si>
    <t>Proposed Budget              FY 2018-19</t>
  </si>
  <si>
    <t>FY 2018-19</t>
  </si>
  <si>
    <t>2017-18 Adopted</t>
  </si>
  <si>
    <t>2018-19</t>
  </si>
  <si>
    <t>Excess (Deficiencies) of</t>
  </si>
  <si>
    <t>Revenues over Expenditures</t>
  </si>
  <si>
    <t>Other Federal Revenues</t>
  </si>
  <si>
    <t>Total Function 91</t>
  </si>
  <si>
    <t>Contracted Services Between Public Schools</t>
  </si>
  <si>
    <t>Revised</t>
  </si>
  <si>
    <t>(Prior Yr Tax Rate)</t>
  </si>
  <si>
    <t>For The</t>
  </si>
  <si>
    <t>2018-2019</t>
  </si>
  <si>
    <t>Fiscal Year</t>
  </si>
  <si>
    <t>(Fiscal Year Ending August 31, 2019)</t>
  </si>
  <si>
    <t>To Be Considered by Board of School Trustees</t>
  </si>
  <si>
    <t>Supporting Schedules For</t>
  </si>
  <si>
    <t>Other Financing Resources (Uses)</t>
  </si>
  <si>
    <t>Change from 2017-18 Adopted Budget to        2018-19 Proposed Budget</t>
  </si>
  <si>
    <t>51 - Maintenance</t>
  </si>
  <si>
    <t xml:space="preserve">65XX </t>
  </si>
  <si>
    <t xml:space="preserve">    Total Revenues</t>
  </si>
  <si>
    <t>Audited Actual</t>
  </si>
  <si>
    <t>Proposed Budget for the Fiscal Year Ending August 31, 2019</t>
  </si>
  <si>
    <t>Juvenile Justice Alternative Ed. Program</t>
  </si>
  <si>
    <t>Excess (Deficiencies) of Revenues</t>
  </si>
  <si>
    <t>Total Revenues and Other Resources</t>
  </si>
  <si>
    <t>Other Revenue from Local Sources</t>
  </si>
  <si>
    <t>Extracurricular Other than Athletics</t>
  </si>
  <si>
    <t>Misc. Rev. Intermediate Sources (JJAEP)</t>
  </si>
  <si>
    <t>Foundation School Program Revenue</t>
  </si>
  <si>
    <t>State Program Revenue Distr. by TEA</t>
  </si>
  <si>
    <t>Federal Revenue Distr. by TEA</t>
  </si>
  <si>
    <t>Federal Revenue Distr. by Federal Govt.</t>
  </si>
  <si>
    <t>Audited Actual         FY 2016-17</t>
  </si>
  <si>
    <t xml:space="preserve"> FY 2016-17</t>
  </si>
  <si>
    <t>91 - Contracted Services Between Public  Schools</t>
  </si>
  <si>
    <t>Excess (Deficiencies) of Revenues and</t>
  </si>
  <si>
    <t>95 - Juvenile Justice Alternative Ed.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</si>
</sst>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0.00%\ ;\(0.00%\)"/>
    <numFmt numFmtId="167" formatCode="_(* #,##0_);_(* \(#,##0\);_(* &quot;-&quot;??_);_(@_)"/>
    <numFmt numFmtId="168" formatCode="_(* #,##0.000000_);_(* \(#,##0.000000\);_(* &quot;-&quot;??_);_(@_)"/>
    <numFmt numFmtId="169" formatCode="0.00000"/>
    <numFmt numFmtId="170" formatCode="mmmm\ d\,\ 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24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4" fillId="4" borderId="0"/>
  </cellStyleXfs>
  <cellXfs count="315">
    <xf numFmtId="0" fontId="0" fillId="0" borderId="0" xfId="0"/>
    <xf numFmtId="0" fontId="3" fillId="0" borderId="0" xfId="3"/>
    <xf numFmtId="0" fontId="5" fillId="0" borderId="0" xfId="3" applyFont="1" applyFill="1"/>
    <xf numFmtId="0" fontId="5" fillId="0" borderId="0" xfId="3" applyFont="1" applyFill="1" applyAlignment="1">
      <alignment horizontal="center"/>
    </xf>
    <xf numFmtId="6" fontId="3" fillId="0" borderId="0" xfId="3" applyNumberFormat="1" applyFill="1"/>
    <xf numFmtId="0" fontId="4" fillId="0" borderId="0" xfId="3" applyFont="1" applyFill="1"/>
    <xf numFmtId="38" fontId="4" fillId="0" borderId="0" xfId="3" applyNumberFormat="1" applyFont="1" applyFill="1"/>
    <xf numFmtId="6" fontId="4" fillId="0" borderId="0" xfId="3" applyNumberFormat="1" applyFont="1" applyFill="1"/>
    <xf numFmtId="0" fontId="6" fillId="0" borderId="0" xfId="3" applyFont="1" applyFill="1" applyAlignment="1"/>
    <xf numFmtId="0" fontId="6" fillId="0" borderId="0" xfId="3" applyFont="1" applyFill="1"/>
    <xf numFmtId="6" fontId="5" fillId="0" borderId="0" xfId="3" applyNumberFormat="1" applyFont="1" applyFill="1" applyAlignment="1">
      <alignment horizontal="center"/>
    </xf>
    <xf numFmtId="38" fontId="5" fillId="0" borderId="0" xfId="3" applyNumberFormat="1" applyFont="1" applyFill="1" applyAlignment="1">
      <alignment horizontal="right"/>
    </xf>
    <xf numFmtId="38" fontId="5" fillId="0" borderId="0" xfId="3" applyNumberFormat="1" applyFont="1" applyFill="1" applyBorder="1" applyAlignment="1">
      <alignment horizontal="right"/>
    </xf>
    <xf numFmtId="38" fontId="4" fillId="0" borderId="0" xfId="3" applyNumberFormat="1" applyFont="1" applyFill="1" applyBorder="1"/>
    <xf numFmtId="0" fontId="4" fillId="0" borderId="0" xfId="3" applyFont="1" applyFill="1" applyAlignment="1">
      <alignment horizontal="left"/>
    </xf>
    <xf numFmtId="41" fontId="4" fillId="0" borderId="0" xfId="3" applyNumberFormat="1" applyFont="1" applyFill="1"/>
    <xf numFmtId="41" fontId="4" fillId="0" borderId="0" xfId="3" applyNumberFormat="1" applyFont="1" applyFill="1" applyAlignment="1">
      <alignment horizontal="right"/>
    </xf>
    <xf numFmtId="0" fontId="5" fillId="0" borderId="0" xfId="3" applyFont="1" applyFill="1" applyBorder="1"/>
    <xf numFmtId="5" fontId="4" fillId="0" borderId="0" xfId="3" applyNumberFormat="1" applyFont="1" applyFill="1" applyBorder="1"/>
    <xf numFmtId="0" fontId="6" fillId="0" borderId="0" xfId="3" applyFont="1" applyFill="1" applyBorder="1" applyAlignment="1"/>
    <xf numFmtId="167" fontId="4" fillId="0" borderId="0" xfId="4" applyNumberFormat="1" applyFont="1" applyFill="1"/>
    <xf numFmtId="0" fontId="3" fillId="0" borderId="0" xfId="3" applyFill="1" applyAlignment="1">
      <alignment textRotation="45"/>
    </xf>
    <xf numFmtId="167" fontId="4" fillId="0" borderId="0" xfId="1" applyNumberFormat="1" applyFont="1" applyFill="1"/>
    <xf numFmtId="165" fontId="4" fillId="0" borderId="0" xfId="2" applyNumberFormat="1" applyFont="1" applyFill="1"/>
    <xf numFmtId="167" fontId="4" fillId="0" borderId="3" xfId="1" applyNumberFormat="1" applyFont="1" applyFill="1" applyBorder="1"/>
    <xf numFmtId="167" fontId="4" fillId="0" borderId="0" xfId="1" applyNumberFormat="1" applyFont="1" applyFill="1" applyBorder="1"/>
    <xf numFmtId="41" fontId="4" fillId="0" borderId="1" xfId="3" applyNumberFormat="1" applyFont="1" applyFill="1" applyBorder="1"/>
    <xf numFmtId="0" fontId="0" fillId="0" borderId="0" xfId="0"/>
    <xf numFmtId="10" fontId="8" fillId="0" borderId="0" xfId="47" applyNumberFormat="1" applyFont="1" applyFill="1" applyAlignment="1">
      <alignment horizontal="right"/>
    </xf>
    <xf numFmtId="166" fontId="8" fillId="0" borderId="0" xfId="47" applyNumberFormat="1" applyFont="1" applyFill="1" applyAlignment="1">
      <alignment horizontal="right"/>
    </xf>
    <xf numFmtId="166" fontId="8" fillId="0" borderId="0" xfId="47" applyNumberFormat="1" applyFont="1" applyFill="1" applyBorder="1" applyAlignment="1">
      <alignment horizontal="right"/>
    </xf>
    <xf numFmtId="2" fontId="7" fillId="0" borderId="0" xfId="47" applyNumberFormat="1" applyFont="1" applyFill="1" applyAlignment="1">
      <alignment horizontal="center"/>
    </xf>
    <xf numFmtId="2" fontId="7" fillId="0" borderId="1" xfId="47" applyNumberFormat="1" applyFont="1" applyFill="1" applyBorder="1" applyAlignment="1">
      <alignment horizontal="center"/>
    </xf>
    <xf numFmtId="2" fontId="8" fillId="0" borderId="0" xfId="47" applyNumberFormat="1" applyFont="1" applyFill="1" applyAlignment="1">
      <alignment horizontal="center"/>
    </xf>
    <xf numFmtId="166" fontId="8" fillId="0" borderId="0" xfId="47" applyNumberFormat="1" applyFont="1" applyFill="1" applyAlignment="1">
      <alignment horizontal="center"/>
    </xf>
    <xf numFmtId="166" fontId="8" fillId="0" borderId="0" xfId="47" applyNumberFormat="1" applyFont="1" applyFill="1"/>
    <xf numFmtId="0" fontId="0" fillId="0" borderId="0" xfId="0" applyFill="1"/>
    <xf numFmtId="41" fontId="4" fillId="0" borderId="0" xfId="15" applyNumberFormat="1" applyFont="1" applyFill="1" applyAlignment="1">
      <alignment horizontal="right"/>
    </xf>
    <xf numFmtId="0" fontId="9" fillId="0" borderId="0" xfId="0" applyFont="1"/>
    <xf numFmtId="167" fontId="9" fillId="0" borderId="0" xfId="1" applyNumberFormat="1" applyFont="1"/>
    <xf numFmtId="167" fontId="9" fillId="0" borderId="0" xfId="1" applyNumberFormat="1" applyFont="1" applyAlignment="1">
      <alignment horizontal="center"/>
    </xf>
    <xf numFmtId="165" fontId="9" fillId="0" borderId="0" xfId="2" applyNumberFormat="1" applyFont="1"/>
    <xf numFmtId="167" fontId="9" fillId="0" borderId="0" xfId="1" applyNumberFormat="1" applyFont="1" applyFill="1"/>
    <xf numFmtId="167" fontId="9" fillId="0" borderId="3" xfId="1" applyNumberFormat="1" applyFont="1" applyBorder="1"/>
    <xf numFmtId="165" fontId="9" fillId="0" borderId="4" xfId="2" applyNumberFormat="1" applyFont="1" applyBorder="1"/>
    <xf numFmtId="165" fontId="9" fillId="0" borderId="0" xfId="2" applyNumberFormat="1" applyFont="1" applyBorder="1"/>
    <xf numFmtId="6" fontId="5" fillId="0" borderId="0" xfId="3" applyNumberFormat="1" applyFont="1" applyFill="1" applyBorder="1" applyAlignment="1">
      <alignment horizontal="center"/>
    </xf>
    <xf numFmtId="41" fontId="4" fillId="0" borderId="0" xfId="3" applyNumberFormat="1" applyFont="1" applyFill="1" applyBorder="1"/>
    <xf numFmtId="167" fontId="4" fillId="0" borderId="3" xfId="4" applyNumberFormat="1" applyFont="1" applyFill="1" applyBorder="1"/>
    <xf numFmtId="0" fontId="5" fillId="0" borderId="0" xfId="3" applyFont="1" applyFill="1" applyAlignment="1">
      <alignment horizontal="left"/>
    </xf>
    <xf numFmtId="38" fontId="4" fillId="0" borderId="1" xfId="3" applyNumberFormat="1" applyFont="1" applyFill="1" applyBorder="1"/>
    <xf numFmtId="0" fontId="0" fillId="0" borderId="0" xfId="0" applyBorder="1"/>
    <xf numFmtId="167" fontId="9" fillId="0" borderId="0" xfId="1" applyNumberFormat="1" applyFont="1" applyAlignment="1">
      <alignment horizontal="center" wrapText="1"/>
    </xf>
    <xf numFmtId="165" fontId="4" fillId="0" borderId="4" xfId="2" applyNumberFormat="1" applyFont="1" applyFill="1" applyBorder="1"/>
    <xf numFmtId="167" fontId="9" fillId="2" borderId="0" xfId="1" applyNumberFormat="1" applyFont="1" applyFill="1"/>
    <xf numFmtId="3" fontId="5" fillId="0" borderId="0" xfId="47" applyNumberFormat="1" applyFont="1" applyFill="1" applyAlignment="1">
      <alignment horizontal="center"/>
    </xf>
    <xf numFmtId="0" fontId="3" fillId="0" borderId="0" xfId="3" applyFont="1" applyFill="1" applyAlignment="1">
      <alignment horizontal="left"/>
    </xf>
    <xf numFmtId="0" fontId="3" fillId="0" borderId="0" xfId="3" applyFill="1"/>
    <xf numFmtId="165" fontId="3" fillId="0" borderId="0" xfId="2" applyNumberFormat="1" applyFont="1" applyFill="1"/>
    <xf numFmtId="167" fontId="9" fillId="0" borderId="0" xfId="1" applyNumberFormat="1" applyFont="1"/>
    <xf numFmtId="6" fontId="5" fillId="0" borderId="0" xfId="3" applyNumberFormat="1" applyFont="1" applyFill="1" applyAlignment="1">
      <alignment horizontal="right"/>
    </xf>
    <xf numFmtId="6" fontId="5" fillId="0" borderId="0" xfId="3" applyNumberFormat="1" applyFont="1" applyFill="1" applyAlignment="1">
      <alignment horizontal="center"/>
    </xf>
    <xf numFmtId="38" fontId="5" fillId="0" borderId="0" xfId="3" applyNumberFormat="1" applyFont="1" applyFill="1" applyAlignment="1">
      <alignment horizontal="right"/>
    </xf>
    <xf numFmtId="6" fontId="5" fillId="0" borderId="1" xfId="3" applyNumberFormat="1" applyFont="1" applyFill="1" applyBorder="1" applyAlignment="1">
      <alignment horizontal="center"/>
    </xf>
    <xf numFmtId="38" fontId="5" fillId="0" borderId="0" xfId="3" applyNumberFormat="1" applyFont="1" applyFill="1" applyBorder="1" applyAlignment="1">
      <alignment horizontal="right"/>
    </xf>
    <xf numFmtId="167" fontId="3" fillId="0" borderId="0" xfId="1" applyNumberFormat="1" applyFont="1" applyFill="1"/>
    <xf numFmtId="0" fontId="0" fillId="0" borderId="0" xfId="0"/>
    <xf numFmtId="10" fontId="0" fillId="0" borderId="0" xfId="57" applyNumberFormat="1" applyFont="1"/>
    <xf numFmtId="10" fontId="4" fillId="0" borderId="0" xfId="57" applyNumberFormat="1" applyFont="1" applyFill="1"/>
    <xf numFmtId="10" fontId="9" fillId="0" borderId="0" xfId="57" applyNumberFormat="1" applyFont="1"/>
    <xf numFmtId="0" fontId="0" fillId="0" borderId="3" xfId="0" applyBorder="1"/>
    <xf numFmtId="0" fontId="9" fillId="0" borderId="3" xfId="0" applyFont="1" applyBorder="1"/>
    <xf numFmtId="0" fontId="5" fillId="0" borderId="1" xfId="3" applyFont="1" applyFill="1" applyBorder="1" applyAlignment="1">
      <alignment horizontal="center"/>
    </xf>
    <xf numFmtId="38" fontId="5" fillId="0" borderId="1" xfId="3" applyNumberFormat="1" applyFont="1" applyFill="1" applyBorder="1" applyAlignment="1">
      <alignment horizontal="center"/>
    </xf>
    <xf numFmtId="168" fontId="0" fillId="0" borderId="0" xfId="0" applyNumberFormat="1"/>
    <xf numFmtId="167" fontId="10" fillId="0" borderId="0" xfId="1" applyNumberFormat="1" applyFont="1" applyFill="1"/>
    <xf numFmtId="0" fontId="2" fillId="0" borderId="0" xfId="0" applyFont="1" applyFill="1" applyAlignment="1">
      <alignment horizontal="center"/>
    </xf>
    <xf numFmtId="41" fontId="3" fillId="0" borderId="0" xfId="3" applyNumberFormat="1" applyFont="1" applyFill="1"/>
    <xf numFmtId="169" fontId="6" fillId="0" borderId="0" xfId="3" applyNumberFormat="1" applyFont="1" applyFill="1" applyBorder="1" applyAlignment="1"/>
    <xf numFmtId="42" fontId="10" fillId="0" borderId="0" xfId="1" applyNumberFormat="1" applyFont="1" applyFill="1"/>
    <xf numFmtId="0" fontId="6" fillId="0" borderId="0" xfId="3" applyFont="1" applyFill="1" applyAlignment="1">
      <alignment horizontal="center"/>
    </xf>
    <xf numFmtId="167" fontId="3" fillId="0" borderId="3" xfId="1" applyNumberFormat="1" applyFont="1" applyFill="1" applyBorder="1"/>
    <xf numFmtId="0" fontId="9" fillId="0" borderId="0" xfId="0" applyFont="1" applyFill="1"/>
    <xf numFmtId="167" fontId="11" fillId="0" borderId="0" xfId="1" applyNumberFormat="1" applyFont="1" applyFill="1"/>
    <xf numFmtId="0" fontId="11" fillId="0" borderId="0" xfId="0" applyFont="1" applyFill="1"/>
    <xf numFmtId="6" fontId="3" fillId="0" borderId="0" xfId="3" applyNumberFormat="1" applyFont="1" applyFill="1"/>
    <xf numFmtId="0" fontId="3" fillId="0" borderId="0" xfId="3" applyFont="1" applyFill="1" applyAlignment="1">
      <alignment horizontal="left" indent="1"/>
    </xf>
    <xf numFmtId="0" fontId="6" fillId="0" borderId="0" xfId="3" applyFont="1" applyFill="1" applyBorder="1" applyAlignment="1">
      <alignment horizontal="center"/>
    </xf>
    <xf numFmtId="167" fontId="12" fillId="0" borderId="0" xfId="1" applyNumberFormat="1" applyFont="1" applyFill="1"/>
    <xf numFmtId="38" fontId="3" fillId="0" borderId="0" xfId="3" applyNumberFormat="1" applyFont="1" applyFill="1" applyBorder="1"/>
    <xf numFmtId="6" fontId="3" fillId="0" borderId="0" xfId="3" applyNumberFormat="1" applyFont="1" applyFill="1" applyBorder="1"/>
    <xf numFmtId="38" fontId="3" fillId="0" borderId="0" xfId="3" applyNumberFormat="1" applyFont="1" applyFill="1"/>
    <xf numFmtId="0" fontId="3" fillId="0" borderId="0" xfId="3" applyFont="1" applyFill="1"/>
    <xf numFmtId="167" fontId="3" fillId="0" borderId="0" xfId="4" applyNumberFormat="1" applyFont="1" applyFill="1"/>
    <xf numFmtId="38" fontId="3" fillId="0" borderId="3" xfId="3" applyNumberFormat="1" applyFont="1" applyFill="1" applyBorder="1"/>
    <xf numFmtId="167" fontId="3" fillId="0" borderId="0" xfId="1" applyNumberFormat="1" applyFont="1" applyFill="1" applyBorder="1"/>
    <xf numFmtId="41" fontId="3" fillId="0" borderId="1" xfId="3" applyNumberFormat="1" applyFont="1" applyFill="1" applyBorder="1"/>
    <xf numFmtId="41" fontId="3" fillId="0" borderId="3" xfId="3" applyNumberFormat="1" applyFont="1" applyFill="1" applyBorder="1"/>
    <xf numFmtId="41" fontId="3" fillId="0" borderId="1" xfId="3" applyNumberFormat="1" applyFont="1" applyFill="1" applyBorder="1" applyAlignment="1">
      <alignment horizontal="right"/>
    </xf>
    <xf numFmtId="41" fontId="3" fillId="0" borderId="0" xfId="3" applyNumberFormat="1" applyFont="1" applyFill="1" applyAlignment="1">
      <alignment horizontal="right"/>
    </xf>
    <xf numFmtId="41" fontId="3" fillId="0" borderId="0" xfId="3" applyNumberFormat="1" applyFont="1" applyFill="1" applyBorder="1"/>
    <xf numFmtId="165" fontId="3" fillId="0" borderId="2" xfId="2" applyNumberFormat="1" applyFont="1" applyFill="1" applyBorder="1"/>
    <xf numFmtId="41" fontId="3" fillId="0" borderId="0" xfId="15" applyNumberFormat="1" applyFont="1" applyFill="1" applyAlignment="1">
      <alignment horizontal="right"/>
    </xf>
    <xf numFmtId="165" fontId="3" fillId="0" borderId="4" xfId="2" applyNumberFormat="1" applyFont="1" applyFill="1" applyBorder="1"/>
    <xf numFmtId="5" fontId="3" fillId="0" borderId="0" xfId="3" applyNumberFormat="1" applyFont="1" applyFill="1" applyBorder="1"/>
    <xf numFmtId="0" fontId="10" fillId="0" borderId="0" xfId="0" applyFont="1"/>
    <xf numFmtId="0" fontId="10" fillId="0" borderId="0" xfId="0" applyFont="1" applyFill="1"/>
    <xf numFmtId="165" fontId="3" fillId="0" borderId="0" xfId="2" applyNumberFormat="1" applyFont="1" applyFill="1" applyBorder="1"/>
    <xf numFmtId="0" fontId="13" fillId="0" borderId="0" xfId="0" applyFont="1" applyFill="1" applyAlignment="1">
      <alignment horizontal="center"/>
    </xf>
    <xf numFmtId="41" fontId="10" fillId="0" borderId="0" xfId="0" applyNumberFormat="1" applyFont="1" applyFill="1"/>
    <xf numFmtId="0" fontId="12" fillId="0" borderId="0" xfId="0" applyFont="1"/>
    <xf numFmtId="167" fontId="12" fillId="2" borderId="0" xfId="1" applyNumberFormat="1" applyFont="1" applyFill="1"/>
    <xf numFmtId="167" fontId="12" fillId="0" borderId="0" xfId="1" applyNumberFormat="1" applyFont="1"/>
    <xf numFmtId="165" fontId="12" fillId="0" borderId="0" xfId="2" applyNumberFormat="1" applyFont="1" applyFill="1" applyBorder="1"/>
    <xf numFmtId="0" fontId="12" fillId="0" borderId="0" xfId="0" applyFont="1" applyAlignment="1">
      <alignment horizontal="right"/>
    </xf>
    <xf numFmtId="165" fontId="12" fillId="2" borderId="0" xfId="2" applyNumberFormat="1" applyFont="1" applyFill="1" applyBorder="1"/>
    <xf numFmtId="165" fontId="12" fillId="0" borderId="0" xfId="2" applyNumberFormat="1" applyFont="1" applyBorder="1"/>
    <xf numFmtId="42" fontId="3" fillId="0" borderId="2" xfId="3" applyNumberFormat="1" applyFont="1" applyFill="1" applyBorder="1" applyAlignment="1">
      <alignment horizontal="right"/>
    </xf>
    <xf numFmtId="42" fontId="4" fillId="0" borderId="2" xfId="3" applyNumberFormat="1" applyFont="1" applyFill="1" applyBorder="1" applyAlignment="1">
      <alignment horizontal="right"/>
    </xf>
    <xf numFmtId="42" fontId="4" fillId="0" borderId="0" xfId="3" applyNumberFormat="1" applyFont="1" applyFill="1" applyAlignment="1">
      <alignment horizontal="right"/>
    </xf>
    <xf numFmtId="42" fontId="3" fillId="0" borderId="0" xfId="3" applyNumberFormat="1" applyFill="1"/>
    <xf numFmtId="0" fontId="14" fillId="4" borderId="0" xfId="66" applyNumberFormat="1" applyFill="1"/>
    <xf numFmtId="0" fontId="14" fillId="4" borderId="5" xfId="66" applyNumberFormat="1" applyFill="1" applyBorder="1"/>
    <xf numFmtId="0" fontId="14" fillId="4" borderId="6" xfId="66" applyNumberFormat="1" applyFill="1" applyBorder="1"/>
    <xf numFmtId="0" fontId="14" fillId="4" borderId="7" xfId="66" applyNumberFormat="1" applyFill="1" applyBorder="1"/>
    <xf numFmtId="0" fontId="14" fillId="4" borderId="0" xfId="66" applyNumberFormat="1" applyFill="1" applyBorder="1"/>
    <xf numFmtId="0" fontId="14" fillId="4" borderId="8" xfId="66" applyNumberFormat="1" applyFill="1" applyBorder="1"/>
    <xf numFmtId="0" fontId="14" fillId="4" borderId="9" xfId="66" applyNumberFormat="1" applyFill="1" applyBorder="1"/>
    <xf numFmtId="0" fontId="15" fillId="5" borderId="8" xfId="66" applyNumberFormat="1" applyFont="1" applyFill="1" applyBorder="1"/>
    <xf numFmtId="0" fontId="15" fillId="5" borderId="0" xfId="66" applyNumberFormat="1" applyFont="1" applyFill="1" applyBorder="1"/>
    <xf numFmtId="0" fontId="16" fillId="5" borderId="0" xfId="66" applyNumberFormat="1" applyFont="1" applyFill="1" applyBorder="1" applyAlignment="1">
      <alignment horizontal="centerContinuous"/>
    </xf>
    <xf numFmtId="0" fontId="15" fillId="5" borderId="0" xfId="66" applyNumberFormat="1" applyFont="1" applyFill="1" applyBorder="1" applyAlignment="1">
      <alignment horizontal="centerContinuous"/>
    </xf>
    <xf numFmtId="0" fontId="17" fillId="5" borderId="8" xfId="66" applyNumberFormat="1" applyFont="1" applyFill="1" applyBorder="1" applyAlignment="1">
      <alignment horizontal="centerContinuous"/>
    </xf>
    <xf numFmtId="0" fontId="16" fillId="5" borderId="8" xfId="66" applyNumberFormat="1" applyFont="1" applyFill="1" applyBorder="1" applyAlignment="1">
      <alignment horizontal="centerContinuous"/>
    </xf>
    <xf numFmtId="0" fontId="16" fillId="5" borderId="10" xfId="66" applyNumberFormat="1" applyFont="1" applyFill="1" applyBorder="1" applyAlignment="1">
      <alignment horizontal="centerContinuous"/>
    </xf>
    <xf numFmtId="0" fontId="16" fillId="5" borderId="11" xfId="66" applyNumberFormat="1" applyFont="1" applyFill="1" applyBorder="1" applyAlignment="1">
      <alignment horizontal="centerContinuous"/>
    </xf>
    <xf numFmtId="0" fontId="15" fillId="5" borderId="11" xfId="66" applyNumberFormat="1" applyFont="1" applyFill="1" applyBorder="1" applyAlignment="1">
      <alignment horizontal="centerContinuous"/>
    </xf>
    <xf numFmtId="0" fontId="14" fillId="4" borderId="12" xfId="66" applyNumberFormat="1" applyFill="1" applyBorder="1"/>
    <xf numFmtId="0" fontId="16" fillId="4" borderId="0" xfId="66" applyNumberFormat="1" applyFont="1" applyFill="1" applyAlignment="1">
      <alignment horizontal="centerContinuous"/>
    </xf>
    <xf numFmtId="0" fontId="15" fillId="4" borderId="0" xfId="66" applyNumberFormat="1" applyFont="1" applyFill="1" applyAlignment="1">
      <alignment horizontal="centerContinuous"/>
    </xf>
    <xf numFmtId="0" fontId="15" fillId="4" borderId="0" xfId="66" applyNumberFormat="1" applyFont="1" applyFill="1" applyBorder="1" applyAlignment="1">
      <alignment horizontal="centerContinuous"/>
    </xf>
    <xf numFmtId="0" fontId="15" fillId="5" borderId="5" xfId="66" applyNumberFormat="1" applyFont="1" applyFill="1" applyBorder="1"/>
    <xf numFmtId="0" fontId="15" fillId="5" borderId="6" xfId="66" applyNumberFormat="1" applyFont="1" applyFill="1" applyBorder="1"/>
    <xf numFmtId="0" fontId="18" fillId="5" borderId="8" xfId="66" applyNumberFormat="1" applyFont="1" applyFill="1" applyBorder="1" applyAlignment="1">
      <alignment horizontal="centerContinuous"/>
    </xf>
    <xf numFmtId="0" fontId="15" fillId="5" borderId="8" xfId="66" applyNumberFormat="1" applyFont="1" applyFill="1" applyBorder="1" applyAlignment="1">
      <alignment horizontal="centerContinuous"/>
    </xf>
    <xf numFmtId="0" fontId="15" fillId="4" borderId="8" xfId="66" applyNumberFormat="1" applyFont="1" applyFill="1" applyBorder="1" applyAlignment="1">
      <alignment horizontal="centerContinuous"/>
    </xf>
    <xf numFmtId="0" fontId="15" fillId="4" borderId="10" xfId="66" applyNumberFormat="1" applyFont="1" applyFill="1" applyBorder="1" applyAlignment="1">
      <alignment horizontal="centerContinuous"/>
    </xf>
    <xf numFmtId="0" fontId="15" fillId="4" borderId="11" xfId="66" applyNumberFormat="1" applyFont="1" applyFill="1" applyBorder="1" applyAlignment="1">
      <alignment horizontal="centerContinuous"/>
    </xf>
    <xf numFmtId="0" fontId="15" fillId="5" borderId="0" xfId="66" applyNumberFormat="1" applyFont="1" applyFill="1" applyAlignment="1">
      <alignment horizontal="centerContinuous"/>
    </xf>
    <xf numFmtId="0" fontId="15" fillId="5" borderId="5" xfId="66" applyNumberFormat="1" applyFont="1" applyFill="1" applyBorder="1" applyAlignment="1">
      <alignment horizontal="centerContinuous"/>
    </xf>
    <xf numFmtId="0" fontId="15" fillId="5" borderId="6" xfId="66" applyNumberFormat="1" applyFont="1" applyFill="1" applyBorder="1" applyAlignment="1">
      <alignment horizontal="centerContinuous"/>
    </xf>
    <xf numFmtId="0" fontId="19" fillId="5" borderId="8" xfId="66" applyNumberFormat="1" applyFont="1" applyFill="1" applyBorder="1" applyAlignment="1">
      <alignment horizontal="centerContinuous"/>
    </xf>
    <xf numFmtId="170" fontId="19" fillId="5" borderId="8" xfId="66" applyNumberFormat="1" applyFont="1" applyFill="1" applyBorder="1" applyAlignment="1">
      <alignment horizontal="centerContinuous"/>
    </xf>
    <xf numFmtId="0" fontId="16" fillId="5" borderId="0" xfId="66" applyNumberFormat="1" applyFont="1" applyFill="1" applyAlignment="1">
      <alignment horizontal="centerContinuous"/>
    </xf>
    <xf numFmtId="0" fontId="16" fillId="4" borderId="0" xfId="66" applyNumberFormat="1" applyFont="1" applyFill="1"/>
    <xf numFmtId="38" fontId="5" fillId="0" borderId="0" xfId="3" applyNumberFormat="1" applyFont="1" applyFill="1" applyAlignment="1">
      <alignment horizontal="center"/>
    </xf>
    <xf numFmtId="167" fontId="10" fillId="2" borderId="0" xfId="1" applyNumberFormat="1" applyFont="1" applyFill="1"/>
    <xf numFmtId="167" fontId="13" fillId="0" borderId="0" xfId="1" applyNumberFormat="1" applyFont="1" applyFill="1"/>
    <xf numFmtId="167" fontId="13" fillId="2" borderId="0" xfId="1" applyNumberFormat="1" applyFont="1" applyFill="1" applyAlignment="1">
      <alignment horizontal="center"/>
    </xf>
    <xf numFmtId="167" fontId="13" fillId="0" borderId="0" xfId="1" applyNumberFormat="1" applyFont="1" applyFill="1" applyAlignment="1">
      <alignment horizontal="center"/>
    </xf>
    <xf numFmtId="167" fontId="13" fillId="2" borderId="0" xfId="1" applyNumberFormat="1" applyFont="1" applyFill="1"/>
    <xf numFmtId="167" fontId="13" fillId="0" borderId="0" xfId="1" quotePrefix="1" applyNumberFormat="1" applyFont="1" applyFill="1"/>
    <xf numFmtId="167" fontId="13" fillId="0" borderId="0" xfId="1" applyNumberFormat="1" applyFont="1" applyFill="1" applyAlignment="1">
      <alignment horizontal="center" wrapText="1"/>
    </xf>
    <xf numFmtId="167" fontId="13" fillId="2" borderId="0" xfId="1" applyNumberFormat="1" applyFont="1" applyFill="1" applyAlignment="1">
      <alignment horizontal="center" wrapText="1"/>
    </xf>
    <xf numFmtId="167" fontId="13" fillId="3" borderId="0" xfId="1" applyNumberFormat="1" applyFont="1" applyFill="1" applyAlignment="1">
      <alignment horizontal="center" wrapText="1"/>
    </xf>
    <xf numFmtId="0" fontId="13" fillId="0" borderId="0" xfId="0" applyFont="1"/>
    <xf numFmtId="167" fontId="10" fillId="0" borderId="0" xfId="1" applyNumberFormat="1" applyFont="1"/>
    <xf numFmtId="165" fontId="10" fillId="0" borderId="0" xfId="2" applyNumberFormat="1" applyFont="1" applyFill="1"/>
    <xf numFmtId="165" fontId="10" fillId="2" borderId="0" xfId="2" applyNumberFormat="1" applyFont="1" applyFill="1"/>
    <xf numFmtId="165" fontId="10" fillId="3" borderId="0" xfId="2" applyNumberFormat="1" applyFont="1" applyFill="1"/>
    <xf numFmtId="165" fontId="10" fillId="0" borderId="0" xfId="2" applyNumberFormat="1" applyFont="1"/>
    <xf numFmtId="167" fontId="10" fillId="3" borderId="0" xfId="1" applyNumberFormat="1" applyFont="1" applyFill="1"/>
    <xf numFmtId="167" fontId="10" fillId="0" borderId="3" xfId="1" applyNumberFormat="1" applyFont="1" applyFill="1" applyBorder="1"/>
    <xf numFmtId="167" fontId="10" fillId="0" borderId="3" xfId="1" applyNumberFormat="1" applyFont="1" applyBorder="1"/>
    <xf numFmtId="165" fontId="10" fillId="0" borderId="4" xfId="2" applyNumberFormat="1" applyFont="1" applyFill="1" applyBorder="1"/>
    <xf numFmtId="10" fontId="21" fillId="0" borderId="0" xfId="57" applyNumberFormat="1" applyFont="1"/>
    <xf numFmtId="0" fontId="21" fillId="0" borderId="0" xfId="0" applyFont="1"/>
    <xf numFmtId="167" fontId="21" fillId="0" borderId="0" xfId="1" applyNumberFormat="1" applyFont="1" applyFill="1"/>
    <xf numFmtId="167" fontId="21" fillId="0" borderId="0" xfId="1" applyNumberFormat="1" applyFont="1"/>
    <xf numFmtId="0" fontId="20" fillId="0" borderId="0" xfId="0" applyFont="1"/>
    <xf numFmtId="0" fontId="20" fillId="0" borderId="0" xfId="0" applyFont="1" applyFill="1"/>
    <xf numFmtId="0" fontId="20" fillId="0" borderId="0" xfId="0" applyFont="1" applyBorder="1"/>
    <xf numFmtId="3" fontId="22" fillId="0" borderId="0" xfId="47" applyNumberFormat="1" applyFont="1" applyFill="1" applyAlignment="1">
      <alignment horizontal="center"/>
    </xf>
    <xf numFmtId="3" fontId="22" fillId="0" borderId="0" xfId="47" applyNumberFormat="1" applyFont="1" applyFill="1" applyBorder="1" applyAlignment="1">
      <alignment horizontal="center"/>
    </xf>
    <xf numFmtId="2" fontId="22" fillId="0" borderId="0" xfId="47" applyNumberFormat="1" applyFont="1" applyFill="1" applyAlignment="1">
      <alignment horizontal="center"/>
    </xf>
    <xf numFmtId="2" fontId="22" fillId="0" borderId="0" xfId="47" applyNumberFormat="1" applyFont="1" applyFill="1" applyBorder="1" applyAlignment="1">
      <alignment horizontal="center"/>
    </xf>
    <xf numFmtId="49" fontId="24" fillId="0" borderId="0" xfId="47" applyNumberFormat="1" applyFont="1" applyFill="1"/>
    <xf numFmtId="0" fontId="22" fillId="0" borderId="0" xfId="47" applyFont="1" applyFill="1" applyAlignment="1">
      <alignment horizontal="center"/>
    </xf>
    <xf numFmtId="0" fontId="22" fillId="0" borderId="0" xfId="47" applyFont="1" applyFill="1" applyBorder="1" applyAlignment="1">
      <alignment horizontal="center"/>
    </xf>
    <xf numFmtId="49" fontId="22" fillId="0" borderId="0" xfId="47" applyNumberFormat="1" applyFont="1" applyFill="1" applyAlignment="1">
      <alignment horizontal="center"/>
    </xf>
    <xf numFmtId="0" fontId="22" fillId="0" borderId="1" xfId="47" applyFont="1" applyFill="1" applyBorder="1" applyAlignment="1">
      <alignment horizontal="center"/>
    </xf>
    <xf numFmtId="2" fontId="22" fillId="0" borderId="1" xfId="47" applyNumberFormat="1" applyFont="1" applyFill="1" applyBorder="1" applyAlignment="1">
      <alignment horizontal="center"/>
    </xf>
    <xf numFmtId="49" fontId="22" fillId="0" borderId="1" xfId="47" applyNumberFormat="1" applyFont="1" applyFill="1" applyBorder="1" applyAlignment="1">
      <alignment horizontal="center"/>
    </xf>
    <xf numFmtId="0" fontId="22" fillId="0" borderId="0" xfId="47" applyFont="1" applyFill="1"/>
    <xf numFmtId="0" fontId="24" fillId="0" borderId="0" xfId="47" applyFont="1" applyFill="1" applyAlignment="1">
      <alignment horizontal="center"/>
    </xf>
    <xf numFmtId="0" fontId="24" fillId="0" borderId="0" xfId="47" applyFont="1" applyFill="1" applyBorder="1" applyAlignment="1">
      <alignment horizontal="center"/>
    </xf>
    <xf numFmtId="2" fontId="24" fillId="0" borderId="0" xfId="47" applyNumberFormat="1" applyFont="1" applyFill="1" applyAlignment="1">
      <alignment horizontal="center"/>
    </xf>
    <xf numFmtId="2" fontId="24" fillId="0" borderId="0" xfId="47" applyNumberFormat="1" applyFont="1" applyFill="1" applyBorder="1" applyAlignment="1">
      <alignment horizontal="center"/>
    </xf>
    <xf numFmtId="49" fontId="24" fillId="0" borderId="0" xfId="47" applyNumberFormat="1" applyFont="1" applyFill="1" applyAlignment="1">
      <alignment horizontal="center"/>
    </xf>
    <xf numFmtId="0" fontId="24" fillId="0" borderId="0" xfId="47" applyFont="1" applyFill="1"/>
    <xf numFmtId="42" fontId="24" fillId="0" borderId="0" xfId="0" applyNumberFormat="1" applyFont="1" applyFill="1" applyAlignment="1">
      <alignment horizontal="right"/>
    </xf>
    <xf numFmtId="42" fontId="24" fillId="0" borderId="0" xfId="47" applyNumberFormat="1" applyFont="1" applyFill="1" applyAlignment="1">
      <alignment horizontal="right"/>
    </xf>
    <xf numFmtId="164" fontId="24" fillId="0" borderId="0" xfId="47" applyNumberFormat="1" applyFont="1" applyFill="1" applyBorder="1" applyAlignment="1">
      <alignment horizontal="right"/>
    </xf>
    <xf numFmtId="166" fontId="24" fillId="0" borderId="0" xfId="47" applyNumberFormat="1" applyFont="1" applyFill="1" applyAlignment="1">
      <alignment horizontal="right"/>
    </xf>
    <xf numFmtId="166" fontId="24" fillId="0" borderId="0" xfId="47" applyNumberFormat="1" applyFont="1" applyFill="1" applyBorder="1" applyAlignment="1">
      <alignment horizontal="right"/>
    </xf>
    <xf numFmtId="10" fontId="24" fillId="0" borderId="0" xfId="47" applyNumberFormat="1" applyFont="1" applyFill="1" applyAlignment="1">
      <alignment horizontal="right"/>
    </xf>
    <xf numFmtId="41" fontId="24" fillId="0" borderId="0" xfId="0" applyNumberFormat="1" applyFont="1" applyFill="1" applyAlignment="1">
      <alignment horizontal="right"/>
    </xf>
    <xf numFmtId="41" fontId="24" fillId="0" borderId="0" xfId="47" applyNumberFormat="1" applyFont="1" applyFill="1" applyAlignment="1">
      <alignment horizontal="right"/>
    </xf>
    <xf numFmtId="10" fontId="24" fillId="0" borderId="0" xfId="57" applyNumberFormat="1" applyFont="1" applyFill="1" applyBorder="1" applyAlignment="1">
      <alignment horizontal="right"/>
    </xf>
    <xf numFmtId="41" fontId="24" fillId="0" borderId="0" xfId="1" applyNumberFormat="1" applyFont="1" applyFill="1" applyAlignment="1">
      <alignment horizontal="right"/>
    </xf>
    <xf numFmtId="41" fontId="24" fillId="0" borderId="3" xfId="47" applyNumberFormat="1" applyFont="1" applyFill="1" applyBorder="1" applyAlignment="1">
      <alignment horizontal="right"/>
    </xf>
    <xf numFmtId="41" fontId="24" fillId="0" borderId="0" xfId="47" applyNumberFormat="1" applyFont="1" applyFill="1" applyBorder="1" applyAlignment="1">
      <alignment horizontal="right"/>
    </xf>
    <xf numFmtId="166" fontId="24" fillId="0" borderId="3" xfId="47" applyNumberFormat="1" applyFont="1" applyFill="1" applyBorder="1" applyAlignment="1">
      <alignment horizontal="right"/>
    </xf>
    <xf numFmtId="10" fontId="24" fillId="0" borderId="3" xfId="47" applyNumberFormat="1" applyFont="1" applyFill="1" applyBorder="1" applyAlignment="1">
      <alignment horizontal="right"/>
    </xf>
    <xf numFmtId="10" fontId="24" fillId="0" borderId="0" xfId="47" applyNumberFormat="1" applyFont="1" applyFill="1" applyBorder="1" applyAlignment="1">
      <alignment horizontal="right"/>
    </xf>
    <xf numFmtId="41" fontId="24" fillId="0" borderId="0" xfId="47" applyNumberFormat="1" applyFont="1" applyFill="1" applyAlignment="1">
      <alignment horizontal="center"/>
    </xf>
    <xf numFmtId="0" fontId="22" fillId="0" borderId="0" xfId="47" applyFont="1" applyFill="1" applyBorder="1"/>
    <xf numFmtId="0" fontId="24" fillId="0" borderId="0" xfId="47" applyFont="1" applyFill="1" applyBorder="1"/>
    <xf numFmtId="41" fontId="24" fillId="0" borderId="0" xfId="47" applyNumberFormat="1" applyFont="1" applyFill="1"/>
    <xf numFmtId="3" fontId="24" fillId="0" borderId="0" xfId="47" applyNumberFormat="1" applyFont="1" applyFill="1" applyBorder="1"/>
    <xf numFmtId="41" fontId="24" fillId="0" borderId="3" xfId="47" applyNumberFormat="1" applyFont="1" applyFill="1" applyBorder="1"/>
    <xf numFmtId="41" fontId="24" fillId="0" borderId="0" xfId="47" applyNumberFormat="1" applyFont="1" applyFill="1" applyBorder="1"/>
    <xf numFmtId="166" fontId="24" fillId="0" borderId="0" xfId="47" applyNumberFormat="1" applyFont="1" applyFill="1" applyAlignment="1">
      <alignment horizontal="center"/>
    </xf>
    <xf numFmtId="166" fontId="24" fillId="0" borderId="0" xfId="47" applyNumberFormat="1" applyFont="1" applyFill="1" applyBorder="1" applyAlignment="1">
      <alignment horizontal="center"/>
    </xf>
    <xf numFmtId="10" fontId="24" fillId="0" borderId="0" xfId="47" applyNumberFormat="1" applyFont="1" applyFill="1" applyAlignment="1">
      <alignment horizontal="center"/>
    </xf>
    <xf numFmtId="3" fontId="24" fillId="0" borderId="0" xfId="47" applyNumberFormat="1" applyFont="1" applyFill="1" applyBorder="1" applyAlignment="1">
      <alignment horizontal="right"/>
    </xf>
    <xf numFmtId="3" fontId="22" fillId="0" borderId="1" xfId="47" applyNumberFormat="1" applyFont="1" applyFill="1" applyBorder="1" applyAlignment="1">
      <alignment horizontal="center"/>
    </xf>
    <xf numFmtId="41" fontId="24" fillId="0" borderId="0" xfId="47" applyNumberFormat="1" applyFont="1" applyFill="1" applyBorder="1" applyAlignment="1">
      <alignment horizontal="center"/>
    </xf>
    <xf numFmtId="166" fontId="24" fillId="0" borderId="0" xfId="47" applyNumberFormat="1" applyFont="1" applyFill="1"/>
    <xf numFmtId="166" fontId="24" fillId="0" borderId="0" xfId="47" applyNumberFormat="1" applyFont="1" applyFill="1" applyBorder="1"/>
    <xf numFmtId="10" fontId="24" fillId="0" borderId="0" xfId="47" applyNumberFormat="1" applyFont="1" applyFill="1"/>
    <xf numFmtId="0" fontId="3" fillId="0" borderId="0" xfId="47" applyFont="1" applyBorder="1"/>
    <xf numFmtId="10" fontId="22" fillId="0" borderId="0" xfId="47" applyNumberFormat="1" applyFont="1" applyFill="1" applyBorder="1" applyAlignment="1">
      <alignment horizontal="center"/>
    </xf>
    <xf numFmtId="0" fontId="24" fillId="0" borderId="0" xfId="47" applyFont="1" applyFill="1" applyBorder="1" applyAlignment="1">
      <alignment horizontal="right"/>
    </xf>
    <xf numFmtId="42" fontId="24" fillId="0" borderId="2" xfId="2" applyNumberFormat="1" applyFont="1" applyFill="1" applyBorder="1" applyAlignment="1">
      <alignment horizontal="right"/>
    </xf>
    <xf numFmtId="42" fontId="24" fillId="0" borderId="0" xfId="47" applyNumberFormat="1" applyFont="1" applyFill="1" applyBorder="1" applyAlignment="1">
      <alignment horizontal="right"/>
    </xf>
    <xf numFmtId="166" fontId="24" fillId="0" borderId="2" xfId="47" applyNumberFormat="1" applyFont="1" applyFill="1" applyBorder="1" applyAlignment="1">
      <alignment horizontal="right"/>
    </xf>
    <xf numFmtId="10" fontId="24" fillId="0" borderId="2" xfId="47" applyNumberFormat="1" applyFont="1" applyFill="1" applyBorder="1" applyAlignment="1">
      <alignment horizontal="right"/>
    </xf>
    <xf numFmtId="0" fontId="3" fillId="0" borderId="0" xfId="47" applyFont="1" applyFill="1" applyBorder="1"/>
    <xf numFmtId="0" fontId="12" fillId="0" borderId="0" xfId="0" applyFont="1" applyFill="1"/>
    <xf numFmtId="0" fontId="12" fillId="0" borderId="0" xfId="0" applyFont="1" applyBorder="1"/>
    <xf numFmtId="0" fontId="24" fillId="0" borderId="0" xfId="47" applyFont="1"/>
    <xf numFmtId="0" fontId="24" fillId="0" borderId="0" xfId="47" applyFont="1" applyBorder="1"/>
    <xf numFmtId="0" fontId="22" fillId="0" borderId="0" xfId="51" applyFont="1" applyAlignment="1">
      <alignment horizontal="centerContinuous"/>
    </xf>
    <xf numFmtId="0" fontId="24" fillId="0" borderId="0" xfId="51" applyFont="1" applyBorder="1" applyAlignment="1">
      <alignment horizontal="centerContinuous"/>
    </xf>
    <xf numFmtId="10" fontId="24" fillId="0" borderId="0" xfId="51" applyNumberFormat="1" applyFont="1" applyAlignment="1">
      <alignment horizontal="centerContinuous"/>
    </xf>
    <xf numFmtId="10" fontId="24" fillId="0" borderId="0" xfId="51" applyNumberFormat="1" applyFont="1" applyFill="1" applyBorder="1" applyAlignment="1">
      <alignment horizontal="centerContinuous"/>
    </xf>
    <xf numFmtId="0" fontId="24" fillId="0" borderId="0" xfId="51" applyFont="1" applyAlignment="1">
      <alignment horizontal="centerContinuous"/>
    </xf>
    <xf numFmtId="0" fontId="24" fillId="0" borderId="0" xfId="51" applyFont="1"/>
    <xf numFmtId="6" fontId="24" fillId="0" borderId="0" xfId="51" applyNumberFormat="1" applyFont="1" applyFill="1"/>
    <xf numFmtId="6" fontId="24" fillId="0" borderId="0" xfId="51" applyNumberFormat="1" applyFont="1" applyFill="1" applyBorder="1"/>
    <xf numFmtId="0" fontId="22" fillId="0" borderId="0" xfId="51" applyFont="1" applyFill="1" applyBorder="1" applyAlignment="1">
      <alignment horizontal="center"/>
    </xf>
    <xf numFmtId="0" fontId="24" fillId="0" borderId="0" xfId="51" applyFont="1" applyBorder="1"/>
    <xf numFmtId="10" fontId="24" fillId="0" borderId="0" xfId="51" applyNumberFormat="1" applyFont="1"/>
    <xf numFmtId="10" fontId="24" fillId="0" borderId="0" xfId="51" applyNumberFormat="1" applyFont="1" applyFill="1" applyBorder="1"/>
    <xf numFmtId="0" fontId="24" fillId="0" borderId="0" xfId="51" applyFont="1" applyFill="1"/>
    <xf numFmtId="0" fontId="24" fillId="0" borderId="0" xfId="51" applyFont="1" applyFill="1" applyBorder="1"/>
    <xf numFmtId="165" fontId="24" fillId="0" borderId="0" xfId="2" applyNumberFormat="1" applyFont="1" applyFill="1" applyAlignment="1">
      <alignment horizontal="right"/>
    </xf>
    <xf numFmtId="6" fontId="24" fillId="0" borderId="0" xfId="51" applyNumberFormat="1" applyFont="1" applyFill="1" applyBorder="1" applyAlignment="1">
      <alignment horizontal="right"/>
    </xf>
    <xf numFmtId="165" fontId="24" fillId="0" borderId="0" xfId="2" applyNumberFormat="1" applyFont="1" applyFill="1" applyBorder="1" applyAlignment="1">
      <alignment horizontal="right"/>
    </xf>
    <xf numFmtId="3" fontId="24" fillId="0" borderId="0" xfId="51" applyNumberFormat="1" applyFont="1" applyBorder="1" applyAlignment="1">
      <alignment horizontal="right"/>
    </xf>
    <xf numFmtId="166" fontId="24" fillId="0" borderId="0" xfId="51" applyNumberFormat="1" applyFont="1" applyAlignment="1">
      <alignment horizontal="right"/>
    </xf>
    <xf numFmtId="10" fontId="24" fillId="0" borderId="0" xfId="51" applyNumberFormat="1" applyFont="1" applyFill="1" applyBorder="1" applyAlignment="1">
      <alignment horizontal="right"/>
    </xf>
    <xf numFmtId="10" fontId="24" fillId="0" borderId="0" xfId="51" applyNumberFormat="1" applyFont="1" applyAlignment="1">
      <alignment horizontal="right"/>
    </xf>
    <xf numFmtId="41" fontId="24" fillId="0" borderId="0" xfId="51" applyNumberFormat="1" applyFont="1" applyFill="1" applyAlignment="1">
      <alignment horizontal="right"/>
    </xf>
    <xf numFmtId="41" fontId="24" fillId="0" borderId="0" xfId="51" applyNumberFormat="1" applyFont="1" applyFill="1" applyBorder="1" applyAlignment="1">
      <alignment horizontal="right"/>
    </xf>
    <xf numFmtId="10" fontId="24" fillId="0" borderId="0" xfId="57" applyNumberFormat="1" applyFont="1" applyBorder="1" applyAlignment="1">
      <alignment horizontal="right"/>
    </xf>
    <xf numFmtId="0" fontId="24" fillId="0" borderId="0" xfId="51" applyFont="1" applyAlignment="1">
      <alignment wrapText="1"/>
    </xf>
    <xf numFmtId="41" fontId="24" fillId="0" borderId="1" xfId="51" applyNumberFormat="1" applyFont="1" applyFill="1" applyBorder="1" applyAlignment="1">
      <alignment horizontal="right"/>
    </xf>
    <xf numFmtId="166" fontId="24" fillId="0" borderId="1" xfId="51" applyNumberFormat="1" applyFont="1" applyBorder="1" applyAlignment="1">
      <alignment horizontal="right"/>
    </xf>
    <xf numFmtId="10" fontId="24" fillId="0" borderId="1" xfId="51" applyNumberFormat="1" applyFont="1" applyBorder="1" applyAlignment="1">
      <alignment horizontal="right"/>
    </xf>
    <xf numFmtId="166" fontId="24" fillId="0" borderId="0" xfId="51" applyNumberFormat="1" applyFont="1" applyBorder="1" applyAlignment="1">
      <alignment horizontal="right"/>
    </xf>
    <xf numFmtId="10" fontId="24" fillId="0" borderId="0" xfId="51" applyNumberFormat="1" applyFont="1" applyBorder="1" applyAlignment="1">
      <alignment horizontal="right"/>
    </xf>
    <xf numFmtId="0" fontId="22" fillId="0" borderId="0" xfId="51" applyFont="1" applyAlignment="1">
      <alignment horizontal="center"/>
    </xf>
    <xf numFmtId="165" fontId="24" fillId="0" borderId="2" xfId="2" applyNumberFormat="1" applyFont="1" applyFill="1" applyBorder="1" applyAlignment="1">
      <alignment horizontal="right"/>
    </xf>
    <xf numFmtId="166" fontId="24" fillId="0" borderId="2" xfId="51" applyNumberFormat="1" applyFont="1" applyBorder="1" applyAlignment="1">
      <alignment horizontal="right"/>
    </xf>
    <xf numFmtId="10" fontId="24" fillId="0" borderId="2" xfId="51" applyNumberFormat="1" applyFont="1" applyBorder="1" applyAlignment="1">
      <alignment horizontal="right"/>
    </xf>
    <xf numFmtId="0" fontId="20" fillId="0" borderId="0" xfId="0" applyFont="1" applyFill="1" applyBorder="1"/>
    <xf numFmtId="0" fontId="23" fillId="0" borderId="0" xfId="51" applyFont="1" applyAlignment="1">
      <alignment horizontal="centerContinuous"/>
    </xf>
    <xf numFmtId="0" fontId="23" fillId="0" borderId="0" xfId="51" applyFont="1"/>
    <xf numFmtId="41" fontId="20" fillId="0" borderId="0" xfId="0" applyNumberFormat="1" applyFont="1" applyFill="1"/>
    <xf numFmtId="10" fontId="20" fillId="0" borderId="0" xfId="57" applyNumberFormat="1" applyFont="1" applyBorder="1"/>
    <xf numFmtId="6" fontId="5" fillId="0" borderId="0" xfId="51" applyNumberFormat="1" applyFont="1" applyFill="1" applyAlignment="1">
      <alignment horizontal="centerContinuous"/>
    </xf>
    <xf numFmtId="6" fontId="5" fillId="0" borderId="0" xfId="51" applyNumberFormat="1" applyFont="1" applyFill="1" applyBorder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Fill="1" applyBorder="1" applyAlignment="1">
      <alignment horizontal="centerContinuous"/>
    </xf>
    <xf numFmtId="6" fontId="3" fillId="0" borderId="0" xfId="51" applyNumberFormat="1" applyFont="1" applyFill="1" applyAlignment="1">
      <alignment horizontal="centerContinuous"/>
    </xf>
    <xf numFmtId="6" fontId="3" fillId="0" borderId="0" xfId="51" applyNumberFormat="1" applyFont="1" applyFill="1" applyBorder="1" applyAlignment="1">
      <alignment horizontal="centerContinuous"/>
    </xf>
    <xf numFmtId="0" fontId="3" fillId="0" borderId="0" xfId="51" applyFont="1" applyFill="1" applyAlignment="1">
      <alignment horizontal="centerContinuous"/>
    </xf>
    <xf numFmtId="0" fontId="3" fillId="0" borderId="0" xfId="51" applyFont="1" applyFill="1" applyBorder="1" applyAlignment="1">
      <alignment horizontal="centerContinuous"/>
    </xf>
    <xf numFmtId="0" fontId="10" fillId="0" borderId="0" xfId="0" applyFont="1" applyAlignment="1">
      <alignment horizontal="left"/>
    </xf>
    <xf numFmtId="42" fontId="3" fillId="0" borderId="0" xfId="3" applyNumberFormat="1" applyFont="1" applyFill="1" applyAlignment="1">
      <alignment horizontal="right"/>
    </xf>
    <xf numFmtId="42" fontId="3" fillId="0" borderId="0" xfId="3" applyNumberFormat="1" applyFont="1" applyFill="1"/>
    <xf numFmtId="10" fontId="10" fillId="0" borderId="0" xfId="57" applyNumberFormat="1" applyFont="1"/>
    <xf numFmtId="6" fontId="22" fillId="0" borderId="0" xfId="3" applyNumberFormat="1" applyFont="1" applyFill="1" applyAlignment="1">
      <alignment horizontal="center" vertical="top"/>
    </xf>
    <xf numFmtId="167" fontId="3" fillId="0" borderId="3" xfId="3" applyNumberFormat="1" applyFont="1" applyFill="1" applyBorder="1"/>
    <xf numFmtId="167" fontId="3" fillId="0" borderId="0" xfId="3" applyNumberFormat="1" applyFont="1" applyFill="1" applyBorder="1"/>
    <xf numFmtId="167" fontId="3" fillId="0" borderId="0" xfId="3" applyNumberFormat="1" applyFont="1" applyFill="1"/>
    <xf numFmtId="167" fontId="4" fillId="0" borderId="0" xfId="3" applyNumberFormat="1" applyFont="1" applyFill="1"/>
    <xf numFmtId="167" fontId="3" fillId="0" borderId="0" xfId="3" applyNumberFormat="1" applyFill="1"/>
    <xf numFmtId="167" fontId="4" fillId="0" borderId="3" xfId="3" applyNumberFormat="1" applyFont="1" applyFill="1" applyBorder="1"/>
    <xf numFmtId="167" fontId="4" fillId="0" borderId="0" xfId="3" applyNumberFormat="1" applyFont="1" applyFill="1" applyBorder="1"/>
    <xf numFmtId="167" fontId="24" fillId="0" borderId="0" xfId="47" applyNumberFormat="1" applyFont="1" applyFill="1" applyAlignment="1">
      <alignment horizontal="right"/>
    </xf>
    <xf numFmtId="167" fontId="24" fillId="0" borderId="3" xfId="47" applyNumberFormat="1" applyFont="1" applyFill="1" applyBorder="1" applyAlignment="1">
      <alignment horizontal="right"/>
    </xf>
    <xf numFmtId="167" fontId="24" fillId="0" borderId="0" xfId="47" applyNumberFormat="1" applyFont="1" applyFill="1" applyBorder="1" applyAlignment="1">
      <alignment horizontal="right"/>
    </xf>
    <xf numFmtId="167" fontId="24" fillId="0" borderId="0" xfId="51" applyNumberFormat="1" applyFont="1" applyFill="1" applyAlignment="1">
      <alignment horizontal="right"/>
    </xf>
    <xf numFmtId="0" fontId="5" fillId="0" borderId="0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167" fontId="13" fillId="0" borderId="0" xfId="1" applyNumberFormat="1" applyFont="1" applyAlignment="1">
      <alignment horizontal="center" wrapText="1"/>
    </xf>
    <xf numFmtId="0" fontId="13" fillId="0" borderId="0" xfId="0" applyFont="1" applyAlignment="1">
      <alignment horizontal="center"/>
    </xf>
    <xf numFmtId="0" fontId="23" fillId="0" borderId="0" xfId="47" applyFont="1" applyFill="1" applyAlignment="1">
      <alignment horizontal="center"/>
    </xf>
    <xf numFmtId="0" fontId="5" fillId="0" borderId="0" xfId="47" applyFont="1" applyFill="1" applyAlignment="1">
      <alignment horizontal="center"/>
    </xf>
    <xf numFmtId="0" fontId="25" fillId="0" borderId="0" xfId="47" applyFont="1" applyFill="1" applyAlignment="1">
      <alignment horizontal="center"/>
    </xf>
    <xf numFmtId="0" fontId="22" fillId="0" borderId="0" xfId="47" applyFont="1" applyFill="1" applyAlignment="1">
      <alignment horizontal="center"/>
    </xf>
  </cellXfs>
  <cellStyles count="67">
    <cellStyle name="Comma" xfId="1" builtinId="3"/>
    <cellStyle name="Comma 2" xfId="4" xr:uid="{00000000-0005-0000-0000-000001000000}"/>
    <cellStyle name="Comma 2 2" xfId="58" xr:uid="{00000000-0005-0000-0000-000002000000}"/>
    <cellStyle name="Comma 3" xfId="48" xr:uid="{00000000-0005-0000-0000-000003000000}"/>
    <cellStyle name="Comma 3 2" xfId="64" xr:uid="{00000000-0005-0000-0000-000004000000}"/>
    <cellStyle name="Currency" xfId="2" builtinId="4"/>
    <cellStyle name="Normal" xfId="0" builtinId="0"/>
    <cellStyle name="Normal 10" xfId="51" xr:uid="{00000000-0005-0000-0000-000007000000}"/>
    <cellStyle name="Normal 10 2" xfId="65" xr:uid="{00000000-0005-0000-0000-000008000000}"/>
    <cellStyle name="Normal 2" xfId="3" xr:uid="{00000000-0005-0000-0000-000009000000}"/>
    <cellStyle name="Normal 2 10" xfId="66" xr:uid="{00000000-0005-0000-0000-00000A000000}"/>
    <cellStyle name="Normal 2 2" xfId="5" xr:uid="{00000000-0005-0000-0000-00000B000000}"/>
    <cellStyle name="Normal 2 2 2" xfId="11" xr:uid="{00000000-0005-0000-0000-00000C000000}"/>
    <cellStyle name="Normal 2 2 2 2" xfId="27" xr:uid="{00000000-0005-0000-0000-00000D000000}"/>
    <cellStyle name="Normal 2 2 2 3" xfId="37" xr:uid="{00000000-0005-0000-0000-00000E000000}"/>
    <cellStyle name="Normal 2 2 3" xfId="13" xr:uid="{00000000-0005-0000-0000-00000F000000}"/>
    <cellStyle name="Normal 2 2 3 2" xfId="30" xr:uid="{00000000-0005-0000-0000-000010000000}"/>
    <cellStyle name="Normal 2 2 3 3" xfId="40" xr:uid="{00000000-0005-0000-0000-000011000000}"/>
    <cellStyle name="Normal 2 2 4" xfId="17" xr:uid="{00000000-0005-0000-0000-000012000000}"/>
    <cellStyle name="Normal 2 2 4 2" xfId="33" xr:uid="{00000000-0005-0000-0000-000013000000}"/>
    <cellStyle name="Normal 2 2 4 3" xfId="43" xr:uid="{00000000-0005-0000-0000-000014000000}"/>
    <cellStyle name="Normal 2 2 5" xfId="24" xr:uid="{00000000-0005-0000-0000-000015000000}"/>
    <cellStyle name="Normal 2 2 6" xfId="21" xr:uid="{00000000-0005-0000-0000-000016000000}"/>
    <cellStyle name="Normal 2 3" xfId="10" xr:uid="{00000000-0005-0000-0000-000017000000}"/>
    <cellStyle name="Normal 2 3 2" xfId="26" xr:uid="{00000000-0005-0000-0000-000018000000}"/>
    <cellStyle name="Normal 2 3 3" xfId="36" xr:uid="{00000000-0005-0000-0000-000019000000}"/>
    <cellStyle name="Normal 2 4" xfId="12" xr:uid="{00000000-0005-0000-0000-00001A000000}"/>
    <cellStyle name="Normal 2 4 2" xfId="29" xr:uid="{00000000-0005-0000-0000-00001B000000}"/>
    <cellStyle name="Normal 2 4 3" xfId="39" xr:uid="{00000000-0005-0000-0000-00001C000000}"/>
    <cellStyle name="Normal 2 5" xfId="16" xr:uid="{00000000-0005-0000-0000-00001D000000}"/>
    <cellStyle name="Normal 2 5 2" xfId="32" xr:uid="{00000000-0005-0000-0000-00001E000000}"/>
    <cellStyle name="Normal 2 5 3" xfId="42" xr:uid="{00000000-0005-0000-0000-00001F000000}"/>
    <cellStyle name="Normal 2 6" xfId="23" xr:uid="{00000000-0005-0000-0000-000020000000}"/>
    <cellStyle name="Normal 2 7" xfId="22" xr:uid="{00000000-0005-0000-0000-000021000000}"/>
    <cellStyle name="Normal 2 8" xfId="49" xr:uid="{00000000-0005-0000-0000-000022000000}"/>
    <cellStyle name="Normal 2 9" xfId="52" xr:uid="{00000000-0005-0000-0000-000023000000}"/>
    <cellStyle name="Normal 3" xfId="7" xr:uid="{00000000-0005-0000-0000-000024000000}"/>
    <cellStyle name="Normal 3 2" xfId="59" xr:uid="{00000000-0005-0000-0000-000025000000}"/>
    <cellStyle name="Normal 4" xfId="8" xr:uid="{00000000-0005-0000-0000-000026000000}"/>
    <cellStyle name="Normal 4 2" xfId="55" xr:uid="{00000000-0005-0000-0000-000027000000}"/>
    <cellStyle name="Normal 5" xfId="9" xr:uid="{00000000-0005-0000-0000-000028000000}"/>
    <cellStyle name="Normal 5 2" xfId="54" xr:uid="{00000000-0005-0000-0000-000029000000}"/>
    <cellStyle name="Normal 6" xfId="15" xr:uid="{00000000-0005-0000-0000-00002A000000}"/>
    <cellStyle name="Normal 6 2" xfId="56" xr:uid="{00000000-0005-0000-0000-00002B000000}"/>
    <cellStyle name="Normal 7" xfId="19" xr:uid="{00000000-0005-0000-0000-00002C000000}"/>
    <cellStyle name="Normal 7 2" xfId="35" xr:uid="{00000000-0005-0000-0000-00002D000000}"/>
    <cellStyle name="Normal 7 2 2" xfId="61" xr:uid="{00000000-0005-0000-0000-00002E000000}"/>
    <cellStyle name="Normal 7 3" xfId="45" xr:uid="{00000000-0005-0000-0000-00002F000000}"/>
    <cellStyle name="Normal 7 3 2" xfId="62" xr:uid="{00000000-0005-0000-0000-000030000000}"/>
    <cellStyle name="Normal 7 4" xfId="60" xr:uid="{00000000-0005-0000-0000-000031000000}"/>
    <cellStyle name="Normal 8" xfId="46" xr:uid="{00000000-0005-0000-0000-000032000000}"/>
    <cellStyle name="Normal 9" xfId="47" xr:uid="{00000000-0005-0000-0000-000033000000}"/>
    <cellStyle name="Normal 9 2" xfId="63" xr:uid="{00000000-0005-0000-0000-000034000000}"/>
    <cellStyle name="Percent" xfId="57" builtinId="5"/>
    <cellStyle name="Percent 2 2" xfId="6" xr:uid="{00000000-0005-0000-0000-000036000000}"/>
    <cellStyle name="Percent 2 2 2" xfId="28" xr:uid="{00000000-0005-0000-0000-000037000000}"/>
    <cellStyle name="Percent 2 2 3" xfId="38" xr:uid="{00000000-0005-0000-0000-000038000000}"/>
    <cellStyle name="Percent 2 3" xfId="14" xr:uid="{00000000-0005-0000-0000-000039000000}"/>
    <cellStyle name="Percent 2 3 2" xfId="31" xr:uid="{00000000-0005-0000-0000-00003A000000}"/>
    <cellStyle name="Percent 2 3 3" xfId="41" xr:uid="{00000000-0005-0000-0000-00003B000000}"/>
    <cellStyle name="Percent 2 4" xfId="18" xr:uid="{00000000-0005-0000-0000-00003C000000}"/>
    <cellStyle name="Percent 2 4 2" xfId="34" xr:uid="{00000000-0005-0000-0000-00003D000000}"/>
    <cellStyle name="Percent 2 4 3" xfId="44" xr:uid="{00000000-0005-0000-0000-00003E000000}"/>
    <cellStyle name="Percent 2 5" xfId="25" xr:uid="{00000000-0005-0000-0000-00003F000000}"/>
    <cellStyle name="Percent 2 6" xfId="20" xr:uid="{00000000-0005-0000-0000-000040000000}"/>
    <cellStyle name="Percent 2 7" xfId="50" xr:uid="{00000000-0005-0000-0000-000041000000}"/>
    <cellStyle name="Percent 2 8" xfId="53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197068</xdr:colOff>
      <xdr:row>2</xdr:row>
      <xdr:rowOff>21898</xdr:rowOff>
    </xdr:from>
    <xdr:to>
      <xdr:col>9</xdr:col>
      <xdr:colOff>61545</xdr:colOff>
      <xdr:row>7</xdr:row>
      <xdr:rowOff>106895</xdr:rowOff>
    </xdr:to>
    <xdr:pic>
      <xdr:nvPicPr>
        <xdr:cNvPr id="2" name="Picture 1" descr="LISD_NoTag_RGB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8068" y="412423"/>
          <a:ext cx="2007602" cy="12660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197068</xdr:colOff>
      <xdr:row>2</xdr:row>
      <xdr:rowOff>21898</xdr:rowOff>
    </xdr:from>
    <xdr:ext cx="2010339" cy="1256462"/>
    <xdr:pic>
      <xdr:nvPicPr>
        <xdr:cNvPr id="2" name="Picture 1" descr="LISD_NoTag_RGB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4768" y="402898"/>
          <a:ext cx="2010339" cy="12564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41"/>
  <sheetViews>
    <sheetView showOutlineSymbols="0" zoomScale="87" workbookViewId="0">
      <selection activeCell="B1" sqref="B1"/>
    </sheetView>
  </sheetViews>
  <sheetFormatPr defaultColWidth="11.140625" defaultRowHeight="15" x14ac:dyDescent="0.2"/>
  <cols>
    <col min="1" max="1" width="7.140625" style="121" customWidth="1"/>
    <col min="2" max="8" width="11.140625" style="121"/>
    <col min="9" max="9" width="9.85546875" style="121" customWidth="1"/>
    <col min="10" max="10" width="2.140625" style="121" customWidth="1"/>
    <col min="11" max="11" width="0.28515625" style="121" customWidth="1"/>
    <col min="12" max="16384" width="11.140625" style="121"/>
  </cols>
  <sheetData>
    <row r="2" spans="2:12" ht="15.75" thickBot="1" x14ac:dyDescent="0.25"/>
    <row r="3" spans="2:12" x14ac:dyDescent="0.2">
      <c r="B3" s="122"/>
      <c r="C3" s="123"/>
      <c r="D3" s="123"/>
      <c r="E3" s="123"/>
      <c r="F3" s="123"/>
      <c r="G3" s="123"/>
      <c r="H3" s="123"/>
      <c r="I3" s="123"/>
      <c r="J3" s="124"/>
      <c r="K3" s="125"/>
      <c r="L3" s="125"/>
    </row>
    <row r="4" spans="2:12" x14ac:dyDescent="0.2">
      <c r="B4" s="126"/>
      <c r="C4" s="125"/>
      <c r="D4" s="125"/>
      <c r="E4" s="125"/>
      <c r="F4" s="125"/>
      <c r="G4" s="125"/>
      <c r="H4" s="125"/>
      <c r="I4" s="125"/>
      <c r="J4" s="127"/>
      <c r="K4" s="125"/>
      <c r="L4" s="125"/>
    </row>
    <row r="5" spans="2:12" x14ac:dyDescent="0.2">
      <c r="B5" s="128"/>
      <c r="C5" s="129"/>
      <c r="D5" s="129"/>
      <c r="E5" s="129"/>
      <c r="F5" s="129"/>
      <c r="G5" s="129"/>
      <c r="H5" s="129"/>
      <c r="I5" s="129"/>
      <c r="J5" s="127"/>
      <c r="K5" s="125"/>
      <c r="L5" s="125"/>
    </row>
    <row r="6" spans="2:12" ht="18" x14ac:dyDescent="0.25">
      <c r="B6" s="128"/>
      <c r="C6" s="130"/>
      <c r="D6" s="131"/>
      <c r="E6" s="131"/>
      <c r="F6" s="131"/>
      <c r="G6" s="131"/>
      <c r="H6" s="131"/>
      <c r="I6" s="131"/>
      <c r="J6" s="127"/>
      <c r="K6" s="125"/>
      <c r="L6" s="125"/>
    </row>
    <row r="7" spans="2:12" ht="30" x14ac:dyDescent="0.4">
      <c r="B7" s="132"/>
      <c r="C7" s="130"/>
      <c r="D7" s="131"/>
      <c r="E7" s="131"/>
      <c r="F7" s="131"/>
      <c r="G7" s="131"/>
      <c r="H7" s="131"/>
      <c r="I7" s="131"/>
      <c r="J7" s="127"/>
      <c r="K7" s="125"/>
      <c r="L7" s="125"/>
    </row>
    <row r="8" spans="2:12" ht="30" x14ac:dyDescent="0.4">
      <c r="B8" s="132" t="s">
        <v>0</v>
      </c>
      <c r="C8" s="130"/>
      <c r="D8" s="131"/>
      <c r="E8" s="131"/>
      <c r="F8" s="131"/>
      <c r="G8" s="131"/>
      <c r="H8" s="131"/>
      <c r="I8" s="131"/>
      <c r="J8" s="127"/>
      <c r="K8" s="125"/>
      <c r="L8" s="125"/>
    </row>
    <row r="9" spans="2:12" ht="18" x14ac:dyDescent="0.25">
      <c r="B9" s="133"/>
      <c r="C9" s="130"/>
      <c r="D9" s="131"/>
      <c r="E9" s="131"/>
      <c r="F9" s="131"/>
      <c r="G9" s="131"/>
      <c r="H9" s="131"/>
      <c r="I9" s="131"/>
      <c r="J9" s="127"/>
      <c r="K9" s="125"/>
      <c r="L9" s="125"/>
    </row>
    <row r="10" spans="2:12" ht="18.75" thickBot="1" x14ac:dyDescent="0.3">
      <c r="B10" s="134"/>
      <c r="C10" s="135"/>
      <c r="D10" s="136"/>
      <c r="E10" s="136"/>
      <c r="F10" s="136"/>
      <c r="G10" s="136"/>
      <c r="H10" s="136"/>
      <c r="I10" s="136"/>
      <c r="J10" s="137"/>
      <c r="K10" s="125"/>
      <c r="L10" s="125"/>
    </row>
    <row r="11" spans="2:12" ht="18" x14ac:dyDescent="0.25">
      <c r="B11" s="138"/>
      <c r="C11" s="138"/>
      <c r="D11" s="139"/>
      <c r="E11" s="139"/>
      <c r="F11" s="139"/>
      <c r="G11" s="139"/>
      <c r="H11" s="139"/>
      <c r="I11" s="140"/>
      <c r="J11" s="125"/>
      <c r="K11" s="125"/>
      <c r="L11" s="125"/>
    </row>
    <row r="12" spans="2:12" ht="18.75" thickBot="1" x14ac:dyDescent="0.3">
      <c r="B12" s="138"/>
      <c r="C12" s="138"/>
      <c r="D12" s="139"/>
      <c r="E12" s="139"/>
      <c r="F12" s="139"/>
      <c r="G12" s="139"/>
      <c r="H12" s="139"/>
      <c r="I12" s="139"/>
    </row>
    <row r="13" spans="2:12" x14ac:dyDescent="0.2">
      <c r="B13" s="141"/>
      <c r="C13" s="142"/>
      <c r="D13" s="142"/>
      <c r="E13" s="142"/>
      <c r="F13" s="142"/>
      <c r="G13" s="142"/>
      <c r="H13" s="142"/>
      <c r="I13" s="142"/>
      <c r="J13" s="124"/>
    </row>
    <row r="14" spans="2:12" x14ac:dyDescent="0.2">
      <c r="B14" s="128"/>
      <c r="C14" s="129"/>
      <c r="D14" s="129"/>
      <c r="E14" s="129"/>
      <c r="F14" s="129"/>
      <c r="G14" s="129"/>
      <c r="H14" s="129"/>
      <c r="I14" s="129"/>
      <c r="J14" s="127"/>
    </row>
    <row r="15" spans="2:12" x14ac:dyDescent="0.2">
      <c r="B15" s="128"/>
      <c r="C15" s="129"/>
      <c r="D15" s="129"/>
      <c r="E15" s="129"/>
      <c r="F15" s="129"/>
      <c r="G15" s="129"/>
      <c r="H15" s="129"/>
      <c r="I15" s="129"/>
      <c r="J15" s="127"/>
    </row>
    <row r="16" spans="2:12" x14ac:dyDescent="0.2">
      <c r="B16" s="128"/>
      <c r="C16" s="129"/>
      <c r="D16" s="129"/>
      <c r="E16" s="129"/>
      <c r="F16" s="129"/>
      <c r="G16" s="129"/>
      <c r="H16" s="129"/>
      <c r="I16" s="129"/>
      <c r="J16" s="127"/>
    </row>
    <row r="17" spans="1:10" x14ac:dyDescent="0.2">
      <c r="B17" s="128"/>
      <c r="C17" s="129"/>
      <c r="D17" s="129"/>
      <c r="E17" s="129"/>
      <c r="F17" s="129"/>
      <c r="G17" s="129"/>
      <c r="H17" s="129"/>
      <c r="I17" s="129"/>
      <c r="J17" s="127"/>
    </row>
    <row r="18" spans="1:10" ht="30" x14ac:dyDescent="0.4">
      <c r="A18" s="139"/>
      <c r="B18" s="132" t="s">
        <v>156</v>
      </c>
      <c r="C18" s="131"/>
      <c r="D18" s="131"/>
      <c r="E18" s="131"/>
      <c r="F18" s="131"/>
      <c r="G18" s="131"/>
      <c r="H18" s="131"/>
      <c r="I18" s="131"/>
      <c r="J18" s="127"/>
    </row>
    <row r="19" spans="1:10" ht="30" x14ac:dyDescent="0.4">
      <c r="A19" s="139"/>
      <c r="B19" s="132"/>
      <c r="C19" s="131"/>
      <c r="D19" s="131"/>
      <c r="E19" s="131"/>
      <c r="F19" s="131"/>
      <c r="G19" s="131"/>
      <c r="H19" s="131"/>
      <c r="I19" s="131"/>
      <c r="J19" s="127"/>
    </row>
    <row r="20" spans="1:10" ht="30" x14ac:dyDescent="0.4">
      <c r="A20" s="139"/>
      <c r="B20" s="132" t="s">
        <v>191</v>
      </c>
      <c r="C20" s="131"/>
      <c r="D20" s="131"/>
      <c r="E20" s="131"/>
      <c r="F20" s="131"/>
      <c r="G20" s="131"/>
      <c r="H20" s="131"/>
      <c r="I20" s="131"/>
      <c r="J20" s="127"/>
    </row>
    <row r="21" spans="1:10" ht="30" x14ac:dyDescent="0.4">
      <c r="A21" s="139"/>
      <c r="B21" s="132"/>
      <c r="C21" s="131"/>
      <c r="D21" s="131"/>
      <c r="E21" s="131"/>
      <c r="F21" s="131"/>
      <c r="G21" s="131"/>
      <c r="H21" s="131"/>
      <c r="I21" s="131"/>
      <c r="J21" s="127"/>
    </row>
    <row r="22" spans="1:10" ht="30" x14ac:dyDescent="0.4">
      <c r="A22" s="139"/>
      <c r="B22" s="132" t="s">
        <v>192</v>
      </c>
      <c r="C22" s="131"/>
      <c r="D22" s="131"/>
      <c r="E22" s="131"/>
      <c r="F22" s="131"/>
      <c r="G22" s="131"/>
      <c r="H22" s="131"/>
      <c r="I22" s="131"/>
      <c r="J22" s="127"/>
    </row>
    <row r="23" spans="1:10" ht="30" x14ac:dyDescent="0.4">
      <c r="A23" s="139"/>
      <c r="B23" s="132"/>
      <c r="C23" s="131"/>
      <c r="D23" s="131"/>
      <c r="E23" s="131"/>
      <c r="F23" s="131"/>
      <c r="G23" s="131"/>
      <c r="H23" s="131"/>
      <c r="I23" s="131"/>
      <c r="J23" s="127"/>
    </row>
    <row r="24" spans="1:10" ht="30" x14ac:dyDescent="0.4">
      <c r="A24" s="139"/>
      <c r="B24" s="132" t="s">
        <v>193</v>
      </c>
      <c r="C24" s="131"/>
      <c r="D24" s="131"/>
      <c r="E24" s="131"/>
      <c r="F24" s="131"/>
      <c r="G24" s="131"/>
      <c r="H24" s="131"/>
      <c r="I24" s="131"/>
      <c r="J24" s="127"/>
    </row>
    <row r="25" spans="1:10" ht="30" x14ac:dyDescent="0.4">
      <c r="A25" s="139"/>
      <c r="B25" s="132"/>
      <c r="C25" s="131"/>
      <c r="D25" s="131"/>
      <c r="E25" s="131"/>
      <c r="F25" s="131"/>
      <c r="G25" s="131"/>
      <c r="H25" s="131"/>
      <c r="I25" s="131"/>
      <c r="J25" s="127"/>
    </row>
    <row r="26" spans="1:10" ht="20.25" x14ac:dyDescent="0.3">
      <c r="A26" s="139"/>
      <c r="B26" s="143" t="s">
        <v>194</v>
      </c>
      <c r="C26" s="131"/>
      <c r="D26" s="131"/>
      <c r="E26" s="131"/>
      <c r="F26" s="131"/>
      <c r="G26" s="131"/>
      <c r="H26" s="131"/>
      <c r="I26" s="131"/>
      <c r="J26" s="127"/>
    </row>
    <row r="27" spans="1:10" ht="30" x14ac:dyDescent="0.4">
      <c r="A27" s="139"/>
      <c r="B27" s="132"/>
      <c r="C27" s="131"/>
      <c r="D27" s="131"/>
      <c r="E27" s="131"/>
      <c r="F27" s="131"/>
      <c r="G27" s="131"/>
      <c r="H27" s="131"/>
      <c r="I27" s="131"/>
      <c r="J27" s="127"/>
    </row>
    <row r="28" spans="1:10" x14ac:dyDescent="0.2">
      <c r="A28" s="139"/>
      <c r="B28" s="144"/>
      <c r="C28" s="131"/>
      <c r="D28" s="131"/>
      <c r="E28" s="131"/>
      <c r="F28" s="131"/>
      <c r="G28" s="131"/>
      <c r="H28" s="131"/>
      <c r="I28" s="131"/>
      <c r="J28" s="127"/>
    </row>
    <row r="29" spans="1:10" x14ac:dyDescent="0.2">
      <c r="A29" s="139"/>
      <c r="B29" s="144"/>
      <c r="C29" s="131"/>
      <c r="D29" s="131"/>
      <c r="E29" s="131"/>
      <c r="F29" s="131"/>
      <c r="G29" s="131"/>
      <c r="H29" s="131"/>
      <c r="I29" s="131"/>
      <c r="J29" s="127"/>
    </row>
    <row r="30" spans="1:10" x14ac:dyDescent="0.2">
      <c r="A30" s="139"/>
      <c r="B30" s="145"/>
      <c r="C30" s="140"/>
      <c r="D30" s="140"/>
      <c r="E30" s="140"/>
      <c r="F30" s="140"/>
      <c r="G30" s="140"/>
      <c r="H30" s="140"/>
      <c r="I30" s="140"/>
      <c r="J30" s="127"/>
    </row>
    <row r="31" spans="1:10" ht="15.75" thickBot="1" x14ac:dyDescent="0.25">
      <c r="A31" s="139"/>
      <c r="B31" s="146"/>
      <c r="C31" s="147"/>
      <c r="D31" s="147"/>
      <c r="E31" s="147"/>
      <c r="F31" s="147"/>
      <c r="G31" s="147"/>
      <c r="H31" s="147"/>
      <c r="I31" s="147"/>
      <c r="J31" s="137"/>
    </row>
    <row r="32" spans="1:10" ht="15.75" thickBot="1" x14ac:dyDescent="0.25">
      <c r="A32" s="139"/>
      <c r="B32" s="148"/>
      <c r="C32" s="148"/>
      <c r="D32" s="148"/>
      <c r="E32" s="148"/>
      <c r="F32" s="148"/>
      <c r="G32" s="148"/>
      <c r="H32" s="148"/>
      <c r="I32" s="148"/>
    </row>
    <row r="33" spans="1:10" x14ac:dyDescent="0.2">
      <c r="A33" s="139"/>
      <c r="B33" s="149"/>
      <c r="C33" s="150"/>
      <c r="D33" s="150"/>
      <c r="E33" s="150"/>
      <c r="F33" s="150"/>
      <c r="G33" s="150"/>
      <c r="H33" s="150"/>
      <c r="I33" s="150"/>
      <c r="J33" s="124"/>
    </row>
    <row r="34" spans="1:10" ht="22.5" x14ac:dyDescent="0.3">
      <c r="A34" s="139"/>
      <c r="B34" s="151" t="s">
        <v>195</v>
      </c>
      <c r="C34" s="130"/>
      <c r="D34" s="131"/>
      <c r="E34" s="131"/>
      <c r="F34" s="131"/>
      <c r="G34" s="131"/>
      <c r="H34" s="131"/>
      <c r="I34" s="131"/>
      <c r="J34" s="127"/>
    </row>
    <row r="35" spans="1:10" ht="22.5" x14ac:dyDescent="0.3">
      <c r="A35" s="139"/>
      <c r="B35" s="152">
        <v>43339</v>
      </c>
      <c r="C35" s="130"/>
      <c r="D35" s="131"/>
      <c r="E35" s="131"/>
      <c r="F35" s="131"/>
      <c r="G35" s="131"/>
      <c r="H35" s="131"/>
      <c r="I35" s="131"/>
      <c r="J35" s="127"/>
    </row>
    <row r="36" spans="1:10" ht="18.75" thickBot="1" x14ac:dyDescent="0.3">
      <c r="A36" s="139"/>
      <c r="B36" s="134"/>
      <c r="C36" s="135"/>
      <c r="D36" s="136"/>
      <c r="E36" s="136"/>
      <c r="F36" s="136"/>
      <c r="G36" s="136"/>
      <c r="H36" s="136"/>
      <c r="I36" s="136"/>
      <c r="J36" s="137"/>
    </row>
    <row r="37" spans="1:10" ht="18" x14ac:dyDescent="0.25">
      <c r="A37" s="139"/>
      <c r="B37" s="153"/>
      <c r="C37" s="153"/>
      <c r="D37" s="148"/>
      <c r="E37" s="148"/>
      <c r="F37" s="148"/>
      <c r="G37" s="148"/>
      <c r="H37" s="148"/>
      <c r="I37" s="148"/>
    </row>
    <row r="38" spans="1:10" ht="18" x14ac:dyDescent="0.25">
      <c r="B38" s="154"/>
      <c r="C38" s="154"/>
    </row>
    <row r="39" spans="1:10" ht="18" x14ac:dyDescent="0.25">
      <c r="B39" s="154"/>
      <c r="C39" s="154"/>
    </row>
    <row r="40" spans="1:10" ht="18" x14ac:dyDescent="0.25">
      <c r="B40" s="154"/>
      <c r="C40" s="154"/>
    </row>
    <row r="41" spans="1:10" ht="18" x14ac:dyDescent="0.25">
      <c r="B41" s="154"/>
      <c r="C41" s="154"/>
    </row>
  </sheetData>
  <pageMargins left="0.5" right="0.25" top="0.75" bottom="0.75" header="0.5" footer="0.5"/>
  <pageSetup scale="91" orientation="portrait" r:id="rId1"/>
  <headerFooter alignWithMargins="0"/>
  <rowBreaks count="2" manualBreakCount="2">
    <brk id="33" max="65535" man="1"/>
    <brk id="35" max="655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9"/>
  <sheetViews>
    <sheetView zoomScaleNormal="100" workbookViewId="0">
      <selection activeCell="C17" sqref="C17"/>
    </sheetView>
  </sheetViews>
  <sheetFormatPr defaultRowHeight="15" x14ac:dyDescent="0.25"/>
  <cols>
    <col min="1" max="1" width="5.5703125" customWidth="1"/>
    <col min="2" max="2" width="40.42578125" customWidth="1"/>
    <col min="3" max="3" width="15.5703125" style="36" customWidth="1"/>
    <col min="4" max="4" width="2" style="36" customWidth="1"/>
    <col min="5" max="5" width="14.5703125" style="36" customWidth="1"/>
    <col min="6" max="6" width="2.7109375" style="36" customWidth="1"/>
    <col min="7" max="7" width="14" style="36" customWidth="1"/>
  </cols>
  <sheetData>
    <row r="1" spans="1:10" x14ac:dyDescent="0.25">
      <c r="A1" s="105"/>
      <c r="B1" s="306" t="s">
        <v>0</v>
      </c>
      <c r="C1" s="306"/>
      <c r="D1" s="306"/>
      <c r="E1" s="306"/>
      <c r="F1" s="306"/>
      <c r="G1" s="306"/>
      <c r="H1" s="5"/>
    </row>
    <row r="2" spans="1:10" x14ac:dyDescent="0.25">
      <c r="A2" s="105"/>
      <c r="B2" s="306" t="s">
        <v>39</v>
      </c>
      <c r="C2" s="306"/>
      <c r="D2" s="306"/>
      <c r="E2" s="306"/>
      <c r="F2" s="306"/>
      <c r="G2" s="306"/>
      <c r="H2" s="5"/>
    </row>
    <row r="3" spans="1:10" x14ac:dyDescent="0.25">
      <c r="A3" s="105"/>
      <c r="B3" s="307" t="s">
        <v>203</v>
      </c>
      <c r="C3" s="307"/>
      <c r="D3" s="307"/>
      <c r="E3" s="307"/>
      <c r="F3" s="307"/>
      <c r="G3" s="307"/>
      <c r="H3" s="5"/>
    </row>
    <row r="4" spans="1:10" x14ac:dyDescent="0.25">
      <c r="A4" s="105"/>
      <c r="B4" s="19"/>
      <c r="C4" s="19"/>
      <c r="D4" s="19"/>
      <c r="E4" s="19"/>
      <c r="F4" s="89"/>
      <c r="G4" s="90"/>
      <c r="H4" s="5"/>
      <c r="I4" s="36"/>
    </row>
    <row r="5" spans="1:10" x14ac:dyDescent="0.25">
      <c r="A5" s="105"/>
      <c r="B5" s="8"/>
      <c r="C5" s="8"/>
      <c r="D5" s="8"/>
      <c r="E5" s="8"/>
      <c r="F5" s="91"/>
      <c r="G5" s="85"/>
      <c r="H5" s="5"/>
      <c r="I5" s="36"/>
    </row>
    <row r="6" spans="1:10" x14ac:dyDescent="0.25">
      <c r="A6" s="105"/>
      <c r="B6" s="9"/>
      <c r="C6" s="60"/>
      <c r="D6" s="92"/>
      <c r="E6" s="61"/>
      <c r="F6" s="62"/>
      <c r="G6" s="85"/>
      <c r="H6" s="5"/>
      <c r="I6" s="36"/>
    </row>
    <row r="7" spans="1:10" x14ac:dyDescent="0.25">
      <c r="A7" s="105"/>
      <c r="B7" s="9"/>
      <c r="C7" s="61" t="s">
        <v>40</v>
      </c>
      <c r="D7" s="62"/>
      <c r="E7" s="61" t="s">
        <v>14</v>
      </c>
      <c r="F7" s="92"/>
      <c r="G7" s="61" t="s">
        <v>21</v>
      </c>
      <c r="H7" s="5"/>
    </row>
    <row r="8" spans="1:10" x14ac:dyDescent="0.25">
      <c r="A8" s="105"/>
      <c r="B8" s="92"/>
      <c r="C8" s="63" t="s">
        <v>41</v>
      </c>
      <c r="D8" s="64"/>
      <c r="E8" s="63" t="s">
        <v>41</v>
      </c>
      <c r="F8" s="92"/>
      <c r="G8" s="63" t="s">
        <v>41</v>
      </c>
      <c r="H8" s="5"/>
    </row>
    <row r="9" spans="1:10" x14ac:dyDescent="0.25">
      <c r="A9" s="105"/>
      <c r="B9" s="2" t="s">
        <v>3</v>
      </c>
      <c r="C9" s="85"/>
      <c r="D9" s="91"/>
      <c r="E9" s="85"/>
      <c r="F9" s="92"/>
      <c r="G9" s="85"/>
      <c r="H9" s="5"/>
    </row>
    <row r="10" spans="1:10" x14ac:dyDescent="0.25">
      <c r="A10" s="105"/>
      <c r="B10" s="56" t="s">
        <v>36</v>
      </c>
      <c r="C10" s="58">
        <f>+'GF Rev by Obj'!H8+'GF Rev by Obj'!H9+'GF Rev by Obj'!H10</f>
        <v>404932518</v>
      </c>
      <c r="D10" s="58"/>
      <c r="E10" s="58">
        <v>0</v>
      </c>
      <c r="F10" s="58"/>
      <c r="G10" s="58">
        <f>'DS Fund'!I11</f>
        <v>141498990</v>
      </c>
      <c r="H10" s="5"/>
      <c r="J10" s="67"/>
    </row>
    <row r="11" spans="1:10" x14ac:dyDescent="0.25">
      <c r="A11" s="105"/>
      <c r="B11" s="56" t="s">
        <v>37</v>
      </c>
      <c r="C11" s="65">
        <f>+'GF Rev by Obj'!H24-'comb funds by func'!C10</f>
        <v>14053070</v>
      </c>
      <c r="D11" s="85"/>
      <c r="E11" s="65">
        <f>'FS Fund'!I12</f>
        <v>11606028</v>
      </c>
      <c r="F11" s="92"/>
      <c r="G11" s="65">
        <f>SUM('DS Fund'!I12:I14)</f>
        <v>700000</v>
      </c>
      <c r="H11" s="5"/>
      <c r="J11" s="67"/>
    </row>
    <row r="12" spans="1:10" x14ac:dyDescent="0.25">
      <c r="A12" s="105"/>
      <c r="B12" s="56" t="s">
        <v>38</v>
      </c>
      <c r="C12" s="93">
        <f>+'GF Rev by Obj'!H33</f>
        <v>64797332</v>
      </c>
      <c r="D12" s="77"/>
      <c r="E12" s="93">
        <f>'FS Fund'!I15</f>
        <v>113089</v>
      </c>
      <c r="F12" s="92"/>
      <c r="G12" s="93">
        <f>'DS Fund'!I17</f>
        <v>1966051</v>
      </c>
      <c r="H12" s="5"/>
      <c r="J12" s="67"/>
    </row>
    <row r="13" spans="1:10" x14ac:dyDescent="0.25">
      <c r="A13" s="105"/>
      <c r="B13" s="56" t="s">
        <v>42</v>
      </c>
      <c r="C13" s="77">
        <f>+'GF Rev by Obj'!H42</f>
        <v>6199000</v>
      </c>
      <c r="D13" s="77"/>
      <c r="E13" s="77">
        <f>'FS Fund'!I25</f>
        <v>12561317</v>
      </c>
      <c r="F13" s="92"/>
      <c r="G13" s="93">
        <f>'DS Fund'!I20</f>
        <v>489807</v>
      </c>
      <c r="H13" s="5"/>
      <c r="J13" s="67"/>
    </row>
    <row r="14" spans="1:10" x14ac:dyDescent="0.25">
      <c r="A14" s="105"/>
      <c r="B14" s="49" t="s">
        <v>201</v>
      </c>
      <c r="C14" s="94">
        <f>SUM(C10:C13)</f>
        <v>489981920</v>
      </c>
      <c r="D14" s="89"/>
      <c r="E14" s="94">
        <f>SUM(E10:E13)</f>
        <v>24280434</v>
      </c>
      <c r="F14" s="92"/>
      <c r="G14" s="94">
        <f>SUM(G10:G13)</f>
        <v>144654848</v>
      </c>
      <c r="H14" s="5"/>
      <c r="J14" s="67"/>
    </row>
    <row r="15" spans="1:10" x14ac:dyDescent="0.25">
      <c r="A15" s="105"/>
      <c r="B15" s="92"/>
      <c r="C15" s="85"/>
      <c r="D15" s="91"/>
      <c r="E15" s="85"/>
      <c r="F15" s="92"/>
      <c r="G15" s="85"/>
      <c r="H15" s="5"/>
      <c r="J15" s="67"/>
    </row>
    <row r="16" spans="1:10" x14ac:dyDescent="0.25">
      <c r="A16" s="105"/>
      <c r="B16" s="2" t="s">
        <v>4</v>
      </c>
      <c r="C16" s="85"/>
      <c r="D16" s="91"/>
      <c r="E16" s="85"/>
      <c r="F16" s="92"/>
      <c r="G16" s="85"/>
      <c r="H16" s="5"/>
      <c r="J16" s="67"/>
    </row>
    <row r="17" spans="1:10" x14ac:dyDescent="0.25">
      <c r="A17" s="105">
        <v>11</v>
      </c>
      <c r="B17" s="86" t="s">
        <v>5</v>
      </c>
      <c r="C17" s="75">
        <f>+'GF by funct'!F16</f>
        <v>283320720</v>
      </c>
      <c r="D17" s="65"/>
      <c r="E17" s="65">
        <v>0</v>
      </c>
      <c r="F17" s="65"/>
      <c r="G17" s="65">
        <v>0</v>
      </c>
      <c r="H17" s="5"/>
      <c r="J17" s="67"/>
    </row>
    <row r="18" spans="1:10" x14ac:dyDescent="0.25">
      <c r="A18" s="105">
        <v>12</v>
      </c>
      <c r="B18" s="86" t="s">
        <v>6</v>
      </c>
      <c r="C18" s="75">
        <f>+'GF by funct'!F17</f>
        <v>5825228</v>
      </c>
      <c r="D18" s="65"/>
      <c r="E18" s="65">
        <v>0</v>
      </c>
      <c r="F18" s="65"/>
      <c r="G18" s="65">
        <v>0</v>
      </c>
      <c r="H18" s="5"/>
      <c r="J18" s="67"/>
    </row>
    <row r="19" spans="1:10" x14ac:dyDescent="0.25">
      <c r="A19" s="105">
        <v>13</v>
      </c>
      <c r="B19" s="86" t="s">
        <v>7</v>
      </c>
      <c r="C19" s="75">
        <f>+'GF by funct'!F18</f>
        <v>2832774</v>
      </c>
      <c r="D19" s="65"/>
      <c r="E19" s="65">
        <v>0</v>
      </c>
      <c r="F19" s="65"/>
      <c r="G19" s="65">
        <v>0</v>
      </c>
      <c r="H19" s="5"/>
      <c r="J19" s="67"/>
    </row>
    <row r="20" spans="1:10" x14ac:dyDescent="0.25">
      <c r="A20" s="105">
        <v>21</v>
      </c>
      <c r="B20" s="86" t="s">
        <v>8</v>
      </c>
      <c r="C20" s="75">
        <f>+'GF by funct'!F19</f>
        <v>11236060</v>
      </c>
      <c r="D20" s="65"/>
      <c r="E20" s="65">
        <v>0</v>
      </c>
      <c r="F20" s="65"/>
      <c r="G20" s="65">
        <v>0</v>
      </c>
      <c r="H20" s="5"/>
      <c r="J20" s="67"/>
    </row>
    <row r="21" spans="1:10" x14ac:dyDescent="0.25">
      <c r="A21" s="105">
        <v>23</v>
      </c>
      <c r="B21" s="86" t="s">
        <v>9</v>
      </c>
      <c r="C21" s="75">
        <f>+'GF by funct'!F20</f>
        <v>28692585</v>
      </c>
      <c r="D21" s="65"/>
      <c r="E21" s="65">
        <v>0</v>
      </c>
      <c r="F21" s="65"/>
      <c r="G21" s="65">
        <v>0</v>
      </c>
      <c r="H21" s="5"/>
      <c r="J21" s="67"/>
    </row>
    <row r="22" spans="1:10" x14ac:dyDescent="0.25">
      <c r="A22" s="105">
        <v>31</v>
      </c>
      <c r="B22" s="86" t="s">
        <v>10</v>
      </c>
      <c r="C22" s="75">
        <f>+'GF by funct'!F21</f>
        <v>19818973</v>
      </c>
      <c r="D22" s="65"/>
      <c r="E22" s="65">
        <v>0</v>
      </c>
      <c r="F22" s="65"/>
      <c r="G22" s="65">
        <v>0</v>
      </c>
      <c r="H22" s="5"/>
      <c r="J22" s="67"/>
    </row>
    <row r="23" spans="1:10" x14ac:dyDescent="0.25">
      <c r="A23" s="105">
        <v>32</v>
      </c>
      <c r="B23" s="86" t="s">
        <v>11</v>
      </c>
      <c r="C23" s="75">
        <f>+'GF by funct'!F22</f>
        <v>214132</v>
      </c>
      <c r="D23" s="65"/>
      <c r="E23" s="65">
        <v>0</v>
      </c>
      <c r="F23" s="65"/>
      <c r="G23" s="65">
        <v>0</v>
      </c>
      <c r="H23" s="5"/>
      <c r="J23" s="67"/>
    </row>
    <row r="24" spans="1:10" x14ac:dyDescent="0.25">
      <c r="A24" s="105">
        <v>33</v>
      </c>
      <c r="B24" s="86" t="s">
        <v>12</v>
      </c>
      <c r="C24" s="75">
        <f>+'GF by funct'!F23</f>
        <v>4895194</v>
      </c>
      <c r="D24" s="65"/>
      <c r="E24" s="65">
        <v>0</v>
      </c>
      <c r="F24" s="65"/>
      <c r="G24" s="65">
        <v>0</v>
      </c>
      <c r="H24" s="5"/>
      <c r="J24" s="67"/>
    </row>
    <row r="25" spans="1:10" x14ac:dyDescent="0.25">
      <c r="A25" s="105">
        <v>34</v>
      </c>
      <c r="B25" s="86" t="s">
        <v>13</v>
      </c>
      <c r="C25" s="75">
        <f>+'GF by funct'!F24</f>
        <v>15209089</v>
      </c>
      <c r="D25" s="65"/>
      <c r="E25" s="65">
        <v>0</v>
      </c>
      <c r="F25" s="65"/>
      <c r="G25" s="65">
        <v>0</v>
      </c>
      <c r="H25" s="5"/>
      <c r="J25" s="67"/>
    </row>
    <row r="26" spans="1:10" x14ac:dyDescent="0.25">
      <c r="A26" s="105">
        <v>35</v>
      </c>
      <c r="B26" s="86" t="s">
        <v>14</v>
      </c>
      <c r="C26" s="75">
        <f>+'GF by funct'!F25</f>
        <v>39099</v>
      </c>
      <c r="D26" s="65"/>
      <c r="E26" s="65">
        <v>23275008</v>
      </c>
      <c r="F26" s="65"/>
      <c r="G26" s="65">
        <v>0</v>
      </c>
      <c r="H26" s="5"/>
      <c r="J26" s="67"/>
    </row>
    <row r="27" spans="1:10" x14ac:dyDescent="0.25">
      <c r="A27" s="105">
        <v>36</v>
      </c>
      <c r="B27" s="86" t="s">
        <v>15</v>
      </c>
      <c r="C27" s="75">
        <f>+'GF by funct'!F26</f>
        <v>11491934</v>
      </c>
      <c r="D27" s="65"/>
      <c r="E27" s="65">
        <v>0</v>
      </c>
      <c r="F27" s="65"/>
      <c r="G27" s="65">
        <v>0</v>
      </c>
      <c r="H27" s="5"/>
      <c r="J27" s="67"/>
    </row>
    <row r="28" spans="1:10" x14ac:dyDescent="0.25">
      <c r="A28" s="105">
        <v>41</v>
      </c>
      <c r="B28" s="86" t="s">
        <v>16</v>
      </c>
      <c r="C28" s="75">
        <f>+'GF by funct'!F27</f>
        <v>11264474</v>
      </c>
      <c r="D28" s="65"/>
      <c r="E28" s="65">
        <v>0</v>
      </c>
      <c r="F28" s="65"/>
      <c r="G28" s="65">
        <v>0</v>
      </c>
      <c r="H28" s="5"/>
      <c r="J28" s="67"/>
    </row>
    <row r="29" spans="1:10" x14ac:dyDescent="0.25">
      <c r="A29" s="105">
        <v>51</v>
      </c>
      <c r="B29" s="86" t="s">
        <v>17</v>
      </c>
      <c r="C29" s="75">
        <f>+'GF by funct'!F28</f>
        <v>43946478</v>
      </c>
      <c r="D29" s="65"/>
      <c r="E29" s="65">
        <v>1066431</v>
      </c>
      <c r="F29" s="65"/>
      <c r="G29" s="65">
        <v>0</v>
      </c>
      <c r="H29" s="5"/>
      <c r="J29" s="67"/>
    </row>
    <row r="30" spans="1:10" x14ac:dyDescent="0.25">
      <c r="A30" s="105">
        <v>52</v>
      </c>
      <c r="B30" s="86" t="s">
        <v>18</v>
      </c>
      <c r="C30" s="75">
        <f>+'GF by funct'!F29</f>
        <v>2763869</v>
      </c>
      <c r="D30" s="65"/>
      <c r="E30" s="65">
        <v>0</v>
      </c>
      <c r="F30" s="65"/>
      <c r="G30" s="65">
        <v>0</v>
      </c>
      <c r="H30" s="5"/>
      <c r="J30" s="67"/>
    </row>
    <row r="31" spans="1:10" x14ac:dyDescent="0.25">
      <c r="A31" s="105">
        <v>53</v>
      </c>
      <c r="B31" s="86" t="s">
        <v>19</v>
      </c>
      <c r="C31" s="75">
        <f>+'GF by funct'!F30</f>
        <v>12294291</v>
      </c>
      <c r="D31" s="65"/>
      <c r="E31" s="65">
        <v>0</v>
      </c>
      <c r="F31" s="65"/>
      <c r="G31" s="65">
        <v>0</v>
      </c>
      <c r="H31" s="5"/>
      <c r="J31" s="67"/>
    </row>
    <row r="32" spans="1:10" x14ac:dyDescent="0.25">
      <c r="A32" s="105">
        <v>61</v>
      </c>
      <c r="B32" s="86" t="s">
        <v>20</v>
      </c>
      <c r="C32" s="75">
        <f>+'GF by funct'!F31</f>
        <v>6496827</v>
      </c>
      <c r="D32" s="65"/>
      <c r="E32" s="65">
        <v>0</v>
      </c>
      <c r="F32" s="65"/>
      <c r="G32" s="65">
        <v>0</v>
      </c>
      <c r="H32" s="5"/>
      <c r="J32" s="67"/>
    </row>
    <row r="33" spans="1:10" x14ac:dyDescent="0.25">
      <c r="A33" s="105">
        <v>71</v>
      </c>
      <c r="B33" s="86" t="s">
        <v>21</v>
      </c>
      <c r="C33" s="75">
        <f>+'GF by funct'!F32</f>
        <v>0</v>
      </c>
      <c r="D33" s="65"/>
      <c r="E33" s="65">
        <v>0</v>
      </c>
      <c r="F33" s="65"/>
      <c r="G33" s="65">
        <f>SUM('DS Fund'!I25:I27)</f>
        <v>138895565</v>
      </c>
      <c r="H33" s="5"/>
      <c r="I33" s="1"/>
      <c r="J33" s="67"/>
    </row>
    <row r="34" spans="1:10" x14ac:dyDescent="0.25">
      <c r="A34" s="105">
        <v>81</v>
      </c>
      <c r="B34" s="86" t="s">
        <v>22</v>
      </c>
      <c r="C34" s="75">
        <f>+'GF by funct'!F33</f>
        <v>0</v>
      </c>
      <c r="D34" s="65"/>
      <c r="E34" s="65">
        <v>0</v>
      </c>
      <c r="F34" s="65"/>
      <c r="G34" s="65">
        <v>0</v>
      </c>
      <c r="H34" s="5"/>
      <c r="I34" s="1"/>
      <c r="J34" s="67"/>
    </row>
    <row r="35" spans="1:10" s="66" customFormat="1" x14ac:dyDescent="0.25">
      <c r="A35" s="105">
        <v>91</v>
      </c>
      <c r="B35" s="86" t="s">
        <v>188</v>
      </c>
      <c r="C35" s="75">
        <f>'GF by funct'!F34</f>
        <v>34476000</v>
      </c>
      <c r="D35" s="65"/>
      <c r="E35" s="65">
        <v>0</v>
      </c>
      <c r="F35" s="65"/>
      <c r="G35" s="65">
        <v>0</v>
      </c>
      <c r="H35" s="5"/>
      <c r="I35" s="1"/>
      <c r="J35" s="67"/>
    </row>
    <row r="36" spans="1:10" x14ac:dyDescent="0.25">
      <c r="A36" s="105">
        <v>93</v>
      </c>
      <c r="B36" s="86" t="s">
        <v>23</v>
      </c>
      <c r="C36" s="75">
        <f>+'GF by funct'!F35</f>
        <v>210000</v>
      </c>
      <c r="D36" s="65"/>
      <c r="E36" s="65">
        <v>0</v>
      </c>
      <c r="F36" s="65"/>
      <c r="G36" s="65">
        <v>0</v>
      </c>
      <c r="H36" s="5"/>
      <c r="I36" s="1"/>
      <c r="J36" s="67"/>
    </row>
    <row r="37" spans="1:10" x14ac:dyDescent="0.25">
      <c r="A37" s="105">
        <v>95</v>
      </c>
      <c r="B37" s="86" t="s">
        <v>204</v>
      </c>
      <c r="C37" s="75">
        <f>+'GF by funct'!F36</f>
        <v>200000</v>
      </c>
      <c r="D37" s="65"/>
      <c r="E37" s="65">
        <v>0</v>
      </c>
      <c r="F37" s="65"/>
      <c r="G37" s="65">
        <v>0</v>
      </c>
      <c r="H37" s="5"/>
      <c r="I37" s="1"/>
      <c r="J37" s="67"/>
    </row>
    <row r="38" spans="1:10" x14ac:dyDescent="0.25">
      <c r="A38" s="105">
        <v>99</v>
      </c>
      <c r="B38" s="86" t="s">
        <v>24</v>
      </c>
      <c r="C38" s="75">
        <f>+'GF by funct'!F37</f>
        <v>3282088</v>
      </c>
      <c r="D38" s="65"/>
      <c r="E38" s="65">
        <v>0</v>
      </c>
      <c r="F38" s="65"/>
      <c r="G38" s="65">
        <v>0</v>
      </c>
      <c r="H38" s="5"/>
      <c r="I38" s="21"/>
      <c r="J38" s="67"/>
    </row>
    <row r="39" spans="1:10" x14ac:dyDescent="0.25">
      <c r="A39" s="105"/>
      <c r="B39" s="2" t="s">
        <v>25</v>
      </c>
      <c r="C39" s="81">
        <f>SUM(C17:C38)</f>
        <v>498509815</v>
      </c>
      <c r="D39" s="95"/>
      <c r="E39" s="81">
        <f>SUM(E17:E38)</f>
        <v>24341439</v>
      </c>
      <c r="F39" s="65"/>
      <c r="G39" s="81">
        <f>SUM(G17:G38)</f>
        <v>138895565</v>
      </c>
      <c r="H39" s="5"/>
      <c r="I39" s="1"/>
    </row>
    <row r="40" spans="1:10" x14ac:dyDescent="0.25">
      <c r="A40" s="105"/>
      <c r="B40" s="92"/>
      <c r="C40" s="85"/>
      <c r="D40" s="91"/>
      <c r="E40" s="85"/>
      <c r="F40" s="92"/>
      <c r="G40" s="85"/>
      <c r="H40" s="5"/>
      <c r="I40" s="1"/>
    </row>
    <row r="41" spans="1:10" hidden="1" x14ac:dyDescent="0.25">
      <c r="A41" s="105"/>
      <c r="B41" s="92"/>
      <c r="C41" s="85"/>
      <c r="D41" s="91"/>
      <c r="E41" s="85"/>
      <c r="F41" s="92"/>
      <c r="G41" s="85"/>
      <c r="H41" s="5"/>
      <c r="I41" s="1"/>
    </row>
    <row r="42" spans="1:10" hidden="1" x14ac:dyDescent="0.25">
      <c r="A42" s="105"/>
      <c r="B42" s="2" t="s">
        <v>26</v>
      </c>
      <c r="C42" s="85"/>
      <c r="D42" s="91"/>
      <c r="E42" s="85"/>
      <c r="F42" s="92"/>
      <c r="G42" s="85"/>
      <c r="H42" s="5"/>
      <c r="I42" s="1"/>
    </row>
    <row r="43" spans="1:10" hidden="1" x14ac:dyDescent="0.25">
      <c r="A43" s="105"/>
      <c r="B43" s="2" t="s">
        <v>27</v>
      </c>
      <c r="C43" s="96">
        <f>+C14-C39</f>
        <v>-8527895</v>
      </c>
      <c r="D43" s="91"/>
      <c r="E43" s="96">
        <f>+E14-E39</f>
        <v>-61005</v>
      </c>
      <c r="F43" s="92"/>
      <c r="G43" s="96">
        <f>+G14-G39</f>
        <v>5759283</v>
      </c>
      <c r="H43" s="5"/>
      <c r="I43" s="1"/>
    </row>
    <row r="44" spans="1:10" hidden="1" x14ac:dyDescent="0.25">
      <c r="A44" s="105"/>
      <c r="B44" s="2"/>
      <c r="C44" s="85"/>
      <c r="D44" s="91"/>
      <c r="E44" s="85"/>
      <c r="F44" s="92"/>
      <c r="G44" s="85"/>
      <c r="H44" s="5"/>
      <c r="I44" s="1"/>
    </row>
    <row r="45" spans="1:10" hidden="1" x14ac:dyDescent="0.25">
      <c r="A45" s="105"/>
      <c r="B45" s="2" t="s">
        <v>28</v>
      </c>
      <c r="C45" s="85"/>
      <c r="D45" s="91"/>
      <c r="E45" s="85"/>
      <c r="F45" s="92"/>
      <c r="G45" s="85"/>
      <c r="H45" s="5"/>
      <c r="I45" s="1"/>
    </row>
    <row r="46" spans="1:10" hidden="1" x14ac:dyDescent="0.25">
      <c r="A46" s="105"/>
      <c r="B46" s="92" t="s">
        <v>29</v>
      </c>
      <c r="C46" s="77">
        <v>0</v>
      </c>
      <c r="D46" s="91"/>
      <c r="E46" s="77">
        <v>0</v>
      </c>
      <c r="F46" s="92"/>
      <c r="G46" s="77"/>
      <c r="H46" s="5"/>
      <c r="I46" s="1"/>
    </row>
    <row r="47" spans="1:10" hidden="1" x14ac:dyDescent="0.25">
      <c r="A47" s="105"/>
      <c r="B47" s="92" t="s">
        <v>30</v>
      </c>
      <c r="C47" s="77">
        <v>0</v>
      </c>
      <c r="D47" s="77"/>
      <c r="E47" s="77">
        <v>0</v>
      </c>
      <c r="F47" s="92"/>
      <c r="G47" s="77"/>
      <c r="H47" s="5"/>
      <c r="I47" s="1"/>
    </row>
    <row r="48" spans="1:10" hidden="1" x14ac:dyDescent="0.25">
      <c r="A48" s="105"/>
      <c r="B48" s="17" t="s">
        <v>31</v>
      </c>
      <c r="C48" s="97">
        <f>+C46-C47</f>
        <v>0</v>
      </c>
      <c r="D48" s="89"/>
      <c r="E48" s="97">
        <f>+E46-E47</f>
        <v>0</v>
      </c>
      <c r="F48" s="92"/>
      <c r="G48" s="97">
        <f>+G46-G47</f>
        <v>0</v>
      </c>
      <c r="H48" s="5"/>
      <c r="I48" s="1"/>
    </row>
    <row r="49" spans="1:9" hidden="1" x14ac:dyDescent="0.25">
      <c r="A49" s="105"/>
      <c r="B49" s="92"/>
      <c r="C49" s="85"/>
      <c r="D49" s="91"/>
      <c r="E49" s="85"/>
      <c r="F49" s="92"/>
      <c r="G49" s="85"/>
      <c r="H49" s="5"/>
    </row>
    <row r="50" spans="1:9" x14ac:dyDescent="0.25">
      <c r="A50" s="105"/>
      <c r="B50" s="105"/>
      <c r="C50" s="85"/>
      <c r="D50" s="91"/>
      <c r="E50" s="85"/>
      <c r="F50" s="92"/>
      <c r="G50" s="85"/>
      <c r="H50" s="5"/>
    </row>
    <row r="51" spans="1:9" x14ac:dyDescent="0.25">
      <c r="A51" s="105"/>
      <c r="B51" s="2" t="s">
        <v>205</v>
      </c>
      <c r="C51" s="85"/>
      <c r="D51" s="91"/>
      <c r="E51" s="85"/>
      <c r="F51" s="92"/>
      <c r="G51" s="85"/>
      <c r="H51" s="5"/>
    </row>
    <row r="52" spans="1:9" x14ac:dyDescent="0.25">
      <c r="A52" s="105"/>
      <c r="B52" s="2" t="s">
        <v>157</v>
      </c>
      <c r="C52" s="98">
        <f>+C43+C48</f>
        <v>-8527895</v>
      </c>
      <c r="D52" s="99"/>
      <c r="E52" s="98">
        <f>+E43+E48</f>
        <v>-61005</v>
      </c>
      <c r="F52" s="92"/>
      <c r="G52" s="98">
        <f>+G43+G48</f>
        <v>5759283</v>
      </c>
      <c r="H52" s="5"/>
    </row>
    <row r="53" spans="1:9" s="66" customFormat="1" x14ac:dyDescent="0.25">
      <c r="A53" s="105"/>
      <c r="B53" s="2"/>
      <c r="C53" s="99"/>
      <c r="D53" s="99"/>
      <c r="E53" s="99"/>
      <c r="F53" s="92"/>
      <c r="G53" s="99"/>
      <c r="H53" s="5"/>
    </row>
    <row r="54" spans="1:9" s="66" customFormat="1" x14ac:dyDescent="0.25">
      <c r="A54" s="105"/>
      <c r="B54" s="2" t="s">
        <v>197</v>
      </c>
      <c r="C54" s="85"/>
      <c r="D54" s="91"/>
      <c r="E54" s="85"/>
      <c r="F54" s="92"/>
      <c r="G54" s="85"/>
      <c r="H54" s="5"/>
      <c r="I54" s="1"/>
    </row>
    <row r="55" spans="1:9" s="66" customFormat="1" x14ac:dyDescent="0.25">
      <c r="A55" s="105"/>
      <c r="B55" s="92" t="s">
        <v>29</v>
      </c>
      <c r="C55" s="75">
        <f>+'GF by funct'!F45</f>
        <v>0</v>
      </c>
      <c r="D55" s="296">
        <f>+'GF Rev by Obj'!E58+'GF Rev by Obj'!E59</f>
        <v>0</v>
      </c>
      <c r="E55" s="297">
        <f>+'FS Fund'!I42</f>
        <v>0</v>
      </c>
      <c r="F55" s="296"/>
      <c r="G55" s="65">
        <f>+'DS Fund'!I35</f>
        <v>0</v>
      </c>
      <c r="H55" s="5"/>
      <c r="I55" s="1"/>
    </row>
    <row r="56" spans="1:9" s="66" customFormat="1" x14ac:dyDescent="0.25">
      <c r="A56" s="105"/>
      <c r="B56" s="92" t="s">
        <v>30</v>
      </c>
      <c r="C56" s="75">
        <f>+'GF by funct'!F46</f>
        <v>0</v>
      </c>
      <c r="D56" s="296">
        <v>0</v>
      </c>
      <c r="E56" s="297">
        <v>0</v>
      </c>
      <c r="F56" s="296"/>
      <c r="G56" s="65">
        <f>+'DS Fund'!I36</f>
        <v>-5000000</v>
      </c>
      <c r="H56" s="5"/>
      <c r="I56" s="1"/>
    </row>
    <row r="57" spans="1:9" s="66" customFormat="1" x14ac:dyDescent="0.25">
      <c r="A57" s="105"/>
      <c r="B57" s="17" t="s">
        <v>31</v>
      </c>
      <c r="C57" s="295">
        <f>SUM(C55:C56)</f>
        <v>0</v>
      </c>
      <c r="D57" s="296">
        <f t="shared" ref="D57" si="0">+D55-D56</f>
        <v>0</v>
      </c>
      <c r="E57" s="295">
        <f>+E55-E56</f>
        <v>0</v>
      </c>
      <c r="F57" s="296"/>
      <c r="G57" s="295">
        <f>SUM(G55:G56)</f>
        <v>-5000000</v>
      </c>
      <c r="H57" s="5"/>
      <c r="I57" s="1"/>
    </row>
    <row r="58" spans="1:9" s="66" customFormat="1" x14ac:dyDescent="0.25">
      <c r="A58" s="105"/>
      <c r="B58" s="17"/>
      <c r="C58" s="100"/>
      <c r="D58" s="100"/>
      <c r="E58" s="100"/>
      <c r="F58" s="100"/>
      <c r="G58" s="100"/>
      <c r="H58" s="5"/>
      <c r="I58" s="1"/>
    </row>
    <row r="59" spans="1:9" s="66" customFormat="1" ht="15.75" thickBot="1" x14ac:dyDescent="0.3">
      <c r="A59" s="105"/>
      <c r="B59" s="2" t="s">
        <v>161</v>
      </c>
      <c r="C59" s="101">
        <f>+C52+C57</f>
        <v>-8527895</v>
      </c>
      <c r="D59" s="100"/>
      <c r="E59" s="101">
        <f>+E52+E57</f>
        <v>-61005</v>
      </c>
      <c r="F59" s="100"/>
      <c r="G59" s="101">
        <f>+G52+G57</f>
        <v>759283</v>
      </c>
      <c r="H59" s="5"/>
      <c r="I59" s="1"/>
    </row>
    <row r="60" spans="1:9" ht="15.75" thickTop="1" x14ac:dyDescent="0.25">
      <c r="A60" s="105"/>
      <c r="B60" s="92"/>
      <c r="C60" s="77"/>
      <c r="D60" s="77"/>
      <c r="E60" s="77"/>
      <c r="F60" s="92"/>
      <c r="G60" s="77"/>
      <c r="H60" s="5"/>
    </row>
    <row r="61" spans="1:9" hidden="1" x14ac:dyDescent="0.25">
      <c r="A61" s="105"/>
      <c r="B61" s="56" t="s">
        <v>34</v>
      </c>
      <c r="C61" s="102">
        <f>+'GF by funct'!F51</f>
        <v>173346862</v>
      </c>
      <c r="D61" s="99"/>
      <c r="E61" s="77">
        <f>+'FS Fund'!I50</f>
        <v>4809126</v>
      </c>
      <c r="F61" s="92"/>
      <c r="G61" s="77">
        <f>+'DS Fund'!I43</f>
        <v>34304478</v>
      </c>
      <c r="H61" s="5"/>
    </row>
    <row r="62" spans="1:9" ht="15.75" hidden="1" thickBot="1" x14ac:dyDescent="0.3">
      <c r="A62" s="105"/>
      <c r="B62" s="2" t="s">
        <v>35</v>
      </c>
      <c r="C62" s="103">
        <f>SUM(C59:C61)</f>
        <v>164818967</v>
      </c>
      <c r="D62" s="104"/>
      <c r="E62" s="103">
        <f>SUM(E59:E61)</f>
        <v>4748121</v>
      </c>
      <c r="F62" s="92"/>
      <c r="G62" s="103">
        <f>SUM(G59:G61)</f>
        <v>35063761</v>
      </c>
      <c r="H62" s="5"/>
    </row>
    <row r="63" spans="1:9" ht="15.75" hidden="1" thickTop="1" x14ac:dyDescent="0.25">
      <c r="A63" s="105"/>
      <c r="B63" s="92"/>
      <c r="C63" s="85"/>
      <c r="D63" s="91"/>
      <c r="E63" s="85"/>
      <c r="F63" s="92"/>
      <c r="G63" s="85"/>
      <c r="H63" s="5"/>
    </row>
    <row r="64" spans="1:9" x14ac:dyDescent="0.25">
      <c r="A64" s="105"/>
      <c r="B64" s="105"/>
      <c r="C64" s="106"/>
      <c r="D64" s="106"/>
      <c r="E64" s="106"/>
      <c r="F64" s="106"/>
      <c r="G64" s="85"/>
    </row>
    <row r="65" spans="1:7" x14ac:dyDescent="0.25">
      <c r="A65" s="105"/>
      <c r="B65" s="105"/>
      <c r="C65" s="106"/>
      <c r="D65" s="106"/>
      <c r="E65" s="106"/>
      <c r="F65" s="106"/>
      <c r="G65" s="85"/>
    </row>
    <row r="66" spans="1:7" x14ac:dyDescent="0.25">
      <c r="A66" s="308"/>
      <c r="B66" s="308"/>
      <c r="C66" s="308"/>
      <c r="D66" s="308"/>
      <c r="E66" s="308"/>
      <c r="F66" s="308"/>
      <c r="G66" s="308"/>
    </row>
    <row r="67" spans="1:7" x14ac:dyDescent="0.25">
      <c r="G67" s="4"/>
    </row>
    <row r="68" spans="1:7" x14ac:dyDescent="0.25">
      <c r="G68" s="4"/>
    </row>
    <row r="69" spans="1:7" x14ac:dyDescent="0.25">
      <c r="G69" s="4"/>
    </row>
  </sheetData>
  <mergeCells count="4">
    <mergeCell ref="B1:G1"/>
    <mergeCell ref="B2:G2"/>
    <mergeCell ref="B3:G3"/>
    <mergeCell ref="A66:G66"/>
  </mergeCells>
  <pageMargins left="0.7" right="0.7" top="0.75" bottom="0.75" header="0.3" footer="0.3"/>
  <pageSetup scale="89" orientation="portrait" r:id="rId1"/>
  <headerFooter>
    <oddFooter>&amp;C&amp;"Arial,Regular"&amp;10 -1-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L41"/>
  <sheetViews>
    <sheetView showOutlineSymbols="0" zoomScale="87" workbookViewId="0"/>
  </sheetViews>
  <sheetFormatPr defaultColWidth="11.140625" defaultRowHeight="15" x14ac:dyDescent="0.2"/>
  <cols>
    <col min="1" max="1" width="7.140625" style="121" customWidth="1"/>
    <col min="2" max="8" width="11.140625" style="121"/>
    <col min="9" max="9" width="9.85546875" style="121" customWidth="1"/>
    <col min="10" max="10" width="2.140625" style="121" customWidth="1"/>
    <col min="11" max="11" width="0.28515625" style="121" customWidth="1"/>
    <col min="12" max="16384" width="11.140625" style="121"/>
  </cols>
  <sheetData>
    <row r="2" spans="1:12" ht="15.75" thickBot="1" x14ac:dyDescent="0.25"/>
    <row r="3" spans="1:12" x14ac:dyDescent="0.2">
      <c r="B3" s="122"/>
      <c r="C3" s="123"/>
      <c r="D3" s="123"/>
      <c r="E3" s="123"/>
      <c r="F3" s="123"/>
      <c r="G3" s="123"/>
      <c r="H3" s="123"/>
      <c r="I3" s="123"/>
      <c r="J3" s="124"/>
      <c r="K3" s="125"/>
      <c r="L3" s="125"/>
    </row>
    <row r="4" spans="1:12" x14ac:dyDescent="0.2">
      <c r="B4" s="126"/>
      <c r="C4" s="125"/>
      <c r="D4" s="125"/>
      <c r="E4" s="125"/>
      <c r="F4" s="125"/>
      <c r="G4" s="125"/>
      <c r="H4" s="125"/>
      <c r="I4" s="125"/>
      <c r="J4" s="127"/>
      <c r="K4" s="125"/>
      <c r="L4" s="125"/>
    </row>
    <row r="5" spans="1:12" x14ac:dyDescent="0.2">
      <c r="B5" s="128"/>
      <c r="C5" s="129"/>
      <c r="D5" s="129"/>
      <c r="E5" s="129"/>
      <c r="F5" s="129"/>
      <c r="G5" s="129"/>
      <c r="H5" s="129"/>
      <c r="I5" s="129"/>
      <c r="J5" s="127"/>
      <c r="K5" s="125"/>
      <c r="L5" s="125"/>
    </row>
    <row r="6" spans="1:12" ht="18" x14ac:dyDescent="0.25">
      <c r="B6" s="128"/>
      <c r="C6" s="130"/>
      <c r="D6" s="131"/>
      <c r="E6" s="131"/>
      <c r="F6" s="131"/>
      <c r="G6" s="131"/>
      <c r="H6" s="131"/>
      <c r="I6" s="131"/>
      <c r="J6" s="127"/>
      <c r="K6" s="125"/>
      <c r="L6" s="125"/>
    </row>
    <row r="7" spans="1:12" ht="30" x14ac:dyDescent="0.4">
      <c r="B7" s="132"/>
      <c r="C7" s="130"/>
      <c r="D7" s="131"/>
      <c r="E7" s="131"/>
      <c r="F7" s="131"/>
      <c r="G7" s="131"/>
      <c r="H7" s="131"/>
      <c r="I7" s="131"/>
      <c r="J7" s="127"/>
      <c r="K7" s="125"/>
      <c r="L7" s="125"/>
    </row>
    <row r="8" spans="1:12" ht="30" x14ac:dyDescent="0.4">
      <c r="B8" s="132"/>
      <c r="C8" s="130"/>
      <c r="D8" s="131"/>
      <c r="E8" s="131"/>
      <c r="F8" s="131"/>
      <c r="G8" s="131"/>
      <c r="H8" s="131"/>
      <c r="I8" s="131"/>
      <c r="J8" s="127"/>
      <c r="K8" s="125"/>
      <c r="L8" s="125"/>
    </row>
    <row r="9" spans="1:12" ht="18" x14ac:dyDescent="0.25">
      <c r="B9" s="133"/>
      <c r="C9" s="130"/>
      <c r="D9" s="131"/>
      <c r="E9" s="131"/>
      <c r="F9" s="131"/>
      <c r="G9" s="131"/>
      <c r="H9" s="131"/>
      <c r="I9" s="131"/>
      <c r="J9" s="127"/>
      <c r="K9" s="125"/>
      <c r="L9" s="125"/>
    </row>
    <row r="10" spans="1:12" ht="18.75" thickBot="1" x14ac:dyDescent="0.3">
      <c r="B10" s="134"/>
      <c r="C10" s="135"/>
      <c r="D10" s="136"/>
      <c r="E10" s="136"/>
      <c r="F10" s="136"/>
      <c r="G10" s="136"/>
      <c r="H10" s="136"/>
      <c r="I10" s="136"/>
      <c r="J10" s="137"/>
      <c r="K10" s="125"/>
      <c r="L10" s="125"/>
    </row>
    <row r="11" spans="1:12" ht="18" x14ac:dyDescent="0.25">
      <c r="B11" s="138"/>
      <c r="C11" s="138"/>
      <c r="D11" s="139"/>
      <c r="E11" s="139"/>
      <c r="F11" s="139"/>
      <c r="G11" s="139"/>
      <c r="H11" s="139"/>
      <c r="I11" s="140"/>
      <c r="J11" s="125"/>
      <c r="K11" s="125"/>
      <c r="L11" s="125"/>
    </row>
    <row r="12" spans="1:12" ht="18.75" thickBot="1" x14ac:dyDescent="0.3">
      <c r="B12" s="138"/>
      <c r="C12" s="138"/>
      <c r="D12" s="139"/>
      <c r="E12" s="139"/>
      <c r="F12" s="139"/>
      <c r="G12" s="139"/>
      <c r="H12" s="139"/>
      <c r="I12" s="139"/>
    </row>
    <row r="13" spans="1:12" x14ac:dyDescent="0.2">
      <c r="B13" s="141"/>
      <c r="C13" s="142"/>
      <c r="D13" s="142"/>
      <c r="E13" s="142"/>
      <c r="F13" s="142"/>
      <c r="G13" s="142"/>
      <c r="H13" s="142"/>
      <c r="I13" s="142"/>
      <c r="J13" s="124"/>
    </row>
    <row r="14" spans="1:12" x14ac:dyDescent="0.2">
      <c r="B14" s="128"/>
      <c r="C14" s="129"/>
      <c r="D14" s="129"/>
      <c r="E14" s="129"/>
      <c r="F14" s="129"/>
      <c r="G14" s="129"/>
      <c r="H14" s="129"/>
      <c r="I14" s="129"/>
      <c r="J14" s="127"/>
    </row>
    <row r="15" spans="1:12" ht="30" x14ac:dyDescent="0.4">
      <c r="A15" s="139"/>
      <c r="B15" s="132" t="s">
        <v>196</v>
      </c>
      <c r="C15" s="131"/>
      <c r="D15" s="131"/>
      <c r="E15" s="131"/>
      <c r="F15" s="131"/>
      <c r="G15" s="131"/>
      <c r="H15" s="131"/>
      <c r="I15" s="131"/>
      <c r="J15" s="127"/>
    </row>
    <row r="16" spans="1:12" x14ac:dyDescent="0.2">
      <c r="B16" s="128"/>
      <c r="C16" s="129"/>
      <c r="D16" s="129"/>
      <c r="E16" s="129"/>
      <c r="F16" s="129"/>
      <c r="G16" s="129"/>
      <c r="H16" s="129"/>
      <c r="I16" s="129"/>
      <c r="J16" s="127"/>
    </row>
    <row r="17" spans="1:10" x14ac:dyDescent="0.2">
      <c r="B17" s="128"/>
      <c r="C17" s="129"/>
      <c r="D17" s="129"/>
      <c r="E17" s="129"/>
      <c r="F17" s="129"/>
      <c r="G17" s="129"/>
      <c r="H17" s="129"/>
      <c r="I17" s="129"/>
      <c r="J17" s="127"/>
    </row>
    <row r="18" spans="1:10" ht="30" x14ac:dyDescent="0.4">
      <c r="A18" s="139"/>
      <c r="B18" s="132" t="s">
        <v>156</v>
      </c>
      <c r="C18" s="131"/>
      <c r="D18" s="131"/>
      <c r="E18" s="131"/>
      <c r="F18" s="131"/>
      <c r="G18" s="131"/>
      <c r="H18" s="131"/>
      <c r="I18" s="131"/>
      <c r="J18" s="127"/>
    </row>
    <row r="19" spans="1:10" ht="30" x14ac:dyDescent="0.4">
      <c r="A19" s="139"/>
      <c r="B19" s="132"/>
      <c r="C19" s="131"/>
      <c r="D19" s="131"/>
      <c r="E19" s="131"/>
      <c r="F19" s="131"/>
      <c r="G19" s="131"/>
      <c r="H19" s="131"/>
      <c r="I19" s="131"/>
      <c r="J19" s="127"/>
    </row>
    <row r="20" spans="1:10" ht="30" x14ac:dyDescent="0.4">
      <c r="A20" s="139"/>
      <c r="B20" s="132" t="s">
        <v>191</v>
      </c>
      <c r="C20" s="131"/>
      <c r="D20" s="131"/>
      <c r="E20" s="131"/>
      <c r="F20" s="131"/>
      <c r="G20" s="131"/>
      <c r="H20" s="131"/>
      <c r="I20" s="131"/>
      <c r="J20" s="127"/>
    </row>
    <row r="21" spans="1:10" ht="30" x14ac:dyDescent="0.4">
      <c r="A21" s="139"/>
      <c r="B21" s="132"/>
      <c r="C21" s="131"/>
      <c r="D21" s="131"/>
      <c r="E21" s="131"/>
      <c r="F21" s="131"/>
      <c r="G21" s="131"/>
      <c r="H21" s="131"/>
      <c r="I21" s="131"/>
      <c r="J21" s="127"/>
    </row>
    <row r="22" spans="1:10" ht="30" x14ac:dyDescent="0.4">
      <c r="A22" s="139"/>
      <c r="B22" s="132" t="s">
        <v>192</v>
      </c>
      <c r="C22" s="131"/>
      <c r="D22" s="131"/>
      <c r="E22" s="131"/>
      <c r="F22" s="131"/>
      <c r="G22" s="131"/>
      <c r="H22" s="131"/>
      <c r="I22" s="131"/>
      <c r="J22" s="127"/>
    </row>
    <row r="23" spans="1:10" ht="30" x14ac:dyDescent="0.4">
      <c r="A23" s="139"/>
      <c r="B23" s="132"/>
      <c r="C23" s="131"/>
      <c r="D23" s="131"/>
      <c r="E23" s="131"/>
      <c r="F23" s="131"/>
      <c r="G23" s="131"/>
      <c r="H23" s="131"/>
      <c r="I23" s="131"/>
      <c r="J23" s="127"/>
    </row>
    <row r="24" spans="1:10" ht="30" x14ac:dyDescent="0.4">
      <c r="A24" s="139"/>
      <c r="B24" s="132" t="s">
        <v>193</v>
      </c>
      <c r="C24" s="131"/>
      <c r="D24" s="131"/>
      <c r="E24" s="131"/>
      <c r="F24" s="131"/>
      <c r="G24" s="131"/>
      <c r="H24" s="131"/>
      <c r="I24" s="131"/>
      <c r="J24" s="127"/>
    </row>
    <row r="25" spans="1:10" ht="30" x14ac:dyDescent="0.4">
      <c r="A25" s="139"/>
      <c r="B25" s="132"/>
      <c r="C25" s="131"/>
      <c r="D25" s="131"/>
      <c r="E25" s="131"/>
      <c r="F25" s="131"/>
      <c r="G25" s="131"/>
      <c r="H25" s="131"/>
      <c r="I25" s="131"/>
      <c r="J25" s="127"/>
    </row>
    <row r="26" spans="1:10" ht="20.25" x14ac:dyDescent="0.3">
      <c r="A26" s="139"/>
      <c r="B26" s="143" t="s">
        <v>194</v>
      </c>
      <c r="C26" s="131"/>
      <c r="D26" s="131"/>
      <c r="E26" s="131"/>
      <c r="F26" s="131"/>
      <c r="G26" s="131"/>
      <c r="H26" s="131"/>
      <c r="I26" s="131"/>
      <c r="J26" s="127"/>
    </row>
    <row r="27" spans="1:10" ht="30" x14ac:dyDescent="0.4">
      <c r="A27" s="139"/>
      <c r="B27" s="132"/>
      <c r="C27" s="131"/>
      <c r="D27" s="131"/>
      <c r="E27" s="131"/>
      <c r="F27" s="131"/>
      <c r="G27" s="131"/>
      <c r="H27" s="131"/>
      <c r="I27" s="131"/>
      <c r="J27" s="127"/>
    </row>
    <row r="28" spans="1:10" x14ac:dyDescent="0.2">
      <c r="A28" s="139"/>
      <c r="B28" s="144"/>
      <c r="C28" s="131"/>
      <c r="D28" s="131"/>
      <c r="E28" s="131"/>
      <c r="F28" s="131"/>
      <c r="G28" s="131"/>
      <c r="H28" s="131"/>
      <c r="I28" s="131"/>
      <c r="J28" s="127"/>
    </row>
    <row r="29" spans="1:10" x14ac:dyDescent="0.2">
      <c r="A29" s="139"/>
      <c r="B29" s="144"/>
      <c r="C29" s="131"/>
      <c r="D29" s="131"/>
      <c r="E29" s="131"/>
      <c r="F29" s="131"/>
      <c r="G29" s="131"/>
      <c r="H29" s="131"/>
      <c r="I29" s="131"/>
      <c r="J29" s="127"/>
    </row>
    <row r="30" spans="1:10" x14ac:dyDescent="0.2">
      <c r="A30" s="139"/>
      <c r="B30" s="145"/>
      <c r="C30" s="140"/>
      <c r="D30" s="140"/>
      <c r="E30" s="140"/>
      <c r="F30" s="140"/>
      <c r="G30" s="140"/>
      <c r="H30" s="140"/>
      <c r="I30" s="140"/>
      <c r="J30" s="127"/>
    </row>
    <row r="31" spans="1:10" ht="15.75" thickBot="1" x14ac:dyDescent="0.25">
      <c r="A31" s="139"/>
      <c r="B31" s="146"/>
      <c r="C31" s="147"/>
      <c r="D31" s="147"/>
      <c r="E31" s="147"/>
      <c r="F31" s="147"/>
      <c r="G31" s="147"/>
      <c r="H31" s="147"/>
      <c r="I31" s="147"/>
      <c r="J31" s="137"/>
    </row>
    <row r="32" spans="1:10" ht="15.75" thickBot="1" x14ac:dyDescent="0.25">
      <c r="A32" s="139"/>
      <c r="B32" s="148"/>
      <c r="C32" s="148"/>
      <c r="D32" s="148"/>
      <c r="E32" s="148"/>
      <c r="F32" s="148"/>
      <c r="G32" s="148"/>
      <c r="H32" s="148"/>
      <c r="I32" s="148"/>
    </row>
    <row r="33" spans="1:10" x14ac:dyDescent="0.2">
      <c r="A33" s="139"/>
      <c r="B33" s="149"/>
      <c r="C33" s="150"/>
      <c r="D33" s="150"/>
      <c r="E33" s="150"/>
      <c r="F33" s="150"/>
      <c r="G33" s="150"/>
      <c r="H33" s="150"/>
      <c r="I33" s="150"/>
      <c r="J33" s="124"/>
    </row>
    <row r="34" spans="1:10" ht="22.5" x14ac:dyDescent="0.3">
      <c r="A34" s="139"/>
      <c r="B34" s="151"/>
      <c r="C34" s="130"/>
      <c r="D34" s="131"/>
      <c r="E34" s="131"/>
      <c r="F34" s="131"/>
      <c r="G34" s="131"/>
      <c r="H34" s="131"/>
      <c r="I34" s="131"/>
      <c r="J34" s="127"/>
    </row>
    <row r="35" spans="1:10" ht="22.5" x14ac:dyDescent="0.3">
      <c r="A35" s="139"/>
      <c r="B35" s="152"/>
      <c r="C35" s="130"/>
      <c r="D35" s="131"/>
      <c r="E35" s="131"/>
      <c r="F35" s="131"/>
      <c r="G35" s="131"/>
      <c r="H35" s="131"/>
      <c r="I35" s="131"/>
      <c r="J35" s="127"/>
    </row>
    <row r="36" spans="1:10" ht="18.75" thickBot="1" x14ac:dyDescent="0.3">
      <c r="A36" s="139"/>
      <c r="B36" s="134"/>
      <c r="C36" s="135"/>
      <c r="D36" s="136"/>
      <c r="E36" s="136"/>
      <c r="F36" s="136"/>
      <c r="G36" s="136"/>
      <c r="H36" s="136"/>
      <c r="I36" s="136"/>
      <c r="J36" s="137"/>
    </row>
    <row r="37" spans="1:10" ht="18" x14ac:dyDescent="0.25">
      <c r="A37" s="139"/>
      <c r="B37" s="153"/>
      <c r="C37" s="153"/>
      <c r="D37" s="148"/>
      <c r="E37" s="148"/>
      <c r="F37" s="148"/>
      <c r="G37" s="148"/>
      <c r="H37" s="148"/>
      <c r="I37" s="148"/>
    </row>
    <row r="38" spans="1:10" ht="18" x14ac:dyDescent="0.25">
      <c r="B38" s="154"/>
      <c r="C38" s="154"/>
    </row>
    <row r="39" spans="1:10" ht="18" x14ac:dyDescent="0.25">
      <c r="B39" s="154"/>
      <c r="C39" s="154"/>
    </row>
    <row r="40" spans="1:10" ht="18" x14ac:dyDescent="0.25">
      <c r="B40" s="154"/>
      <c r="C40" s="154"/>
    </row>
    <row r="41" spans="1:10" ht="18" x14ac:dyDescent="0.25">
      <c r="B41" s="154"/>
      <c r="C41" s="154"/>
    </row>
  </sheetData>
  <pageMargins left="0.5" right="0.25" top="0.75" bottom="0.75" header="0.5" footer="0.5"/>
  <pageSetup scale="91" orientation="portrait" r:id="rId1"/>
  <headerFooter alignWithMargins="0"/>
  <rowBreaks count="2" manualBreakCount="2">
    <brk id="33" max="65535" man="1"/>
    <brk id="35" max="6553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66"/>
  <sheetViews>
    <sheetView topLeftCell="A19" zoomScaleNormal="100" workbookViewId="0">
      <selection activeCell="F49" sqref="F49"/>
    </sheetView>
  </sheetViews>
  <sheetFormatPr defaultColWidth="9.140625" defaultRowHeight="15" x14ac:dyDescent="0.25"/>
  <cols>
    <col min="1" max="1" width="5.5703125" style="66" customWidth="1"/>
    <col min="2" max="2" width="40.42578125" style="66" customWidth="1"/>
    <col min="3" max="3" width="15.5703125" style="36" customWidth="1"/>
    <col min="4" max="4" width="16.85546875" style="36" customWidth="1"/>
    <col min="5" max="5" width="16.140625" style="36" hidden="1" customWidth="1"/>
    <col min="6" max="6" width="16.7109375" style="36" bestFit="1" customWidth="1"/>
    <col min="7" max="7" width="16.7109375" style="66" bestFit="1" customWidth="1"/>
    <col min="8" max="8" width="9.140625" style="66"/>
    <col min="9" max="15" width="0" style="66" hidden="1" customWidth="1"/>
    <col min="16" max="16384" width="9.140625" style="66"/>
  </cols>
  <sheetData>
    <row r="1" spans="1:8" x14ac:dyDescent="0.25">
      <c r="A1" s="105"/>
      <c r="B1" s="306" t="s">
        <v>0</v>
      </c>
      <c r="C1" s="306"/>
      <c r="D1" s="306"/>
      <c r="E1" s="306"/>
      <c r="F1" s="306"/>
      <c r="G1" s="306"/>
      <c r="H1" s="5"/>
    </row>
    <row r="2" spans="1:8" x14ac:dyDescent="0.25">
      <c r="A2" s="105"/>
      <c r="B2" s="306" t="s">
        <v>150</v>
      </c>
      <c r="C2" s="306"/>
      <c r="D2" s="306"/>
      <c r="E2" s="306"/>
      <c r="F2" s="306"/>
      <c r="G2" s="306"/>
      <c r="H2" s="5"/>
    </row>
    <row r="3" spans="1:8" x14ac:dyDescent="0.25">
      <c r="A3" s="105"/>
      <c r="B3" s="19"/>
      <c r="C3" s="19"/>
      <c r="D3" s="19"/>
      <c r="E3" s="87"/>
      <c r="F3" s="89"/>
      <c r="G3" s="46" t="s">
        <v>176</v>
      </c>
      <c r="H3" s="5"/>
    </row>
    <row r="4" spans="1:8" x14ac:dyDescent="0.25">
      <c r="A4" s="105"/>
      <c r="B4" s="8"/>
      <c r="C4" s="80"/>
      <c r="D4" s="80"/>
      <c r="E4" s="80"/>
      <c r="F4" s="80"/>
      <c r="G4" s="61" t="s">
        <v>182</v>
      </c>
      <c r="H4" s="5"/>
    </row>
    <row r="5" spans="1:8" x14ac:dyDescent="0.25">
      <c r="A5" s="105"/>
      <c r="B5" s="9"/>
      <c r="C5" s="61" t="s">
        <v>1</v>
      </c>
      <c r="D5" s="61"/>
      <c r="E5" s="61"/>
      <c r="F5" s="61"/>
      <c r="G5" s="61" t="s">
        <v>177</v>
      </c>
      <c r="H5" s="5"/>
    </row>
    <row r="6" spans="1:8" x14ac:dyDescent="0.25">
      <c r="A6" s="105"/>
      <c r="B6" s="9"/>
      <c r="C6" s="108" t="s">
        <v>45</v>
      </c>
      <c r="D6" s="155" t="s">
        <v>155</v>
      </c>
      <c r="E6" s="61" t="s">
        <v>160</v>
      </c>
      <c r="F6" s="3" t="s">
        <v>156</v>
      </c>
      <c r="G6" s="61" t="s">
        <v>183</v>
      </c>
      <c r="H6" s="5"/>
    </row>
    <row r="7" spans="1:8" x14ac:dyDescent="0.25">
      <c r="A7" s="105"/>
      <c r="B7" s="92"/>
      <c r="C7" s="63" t="s">
        <v>174</v>
      </c>
      <c r="D7" s="73" t="s">
        <v>175</v>
      </c>
      <c r="E7" s="63" t="s">
        <v>174</v>
      </c>
      <c r="F7" s="72" t="s">
        <v>181</v>
      </c>
      <c r="G7" s="63" t="s">
        <v>156</v>
      </c>
      <c r="H7" s="5"/>
    </row>
    <row r="8" spans="1:8" x14ac:dyDescent="0.25">
      <c r="A8" s="105"/>
      <c r="B8" s="2" t="s">
        <v>3</v>
      </c>
      <c r="C8" s="85"/>
      <c r="D8" s="91"/>
      <c r="E8" s="85"/>
      <c r="F8" s="92"/>
      <c r="G8" s="85"/>
      <c r="H8" s="5"/>
    </row>
    <row r="9" spans="1:8" x14ac:dyDescent="0.25">
      <c r="A9" s="105"/>
      <c r="B9" s="56" t="s">
        <v>36</v>
      </c>
      <c r="C9" s="79">
        <f>ROUND(SUM('GF Rev by Obj'!C8:C10),0)</f>
        <v>341677880</v>
      </c>
      <c r="D9" s="58">
        <f>ROUND(SUM('GF Rev by Obj'!E8:E10),0)</f>
        <v>372557814</v>
      </c>
      <c r="E9" s="58">
        <f>+'GF Rev by Obj'!G8+'GF Rev by Obj'!G9+'GF Rev by Obj'!G10</f>
        <v>340106257.41000003</v>
      </c>
      <c r="F9" s="58">
        <f>ROUND(SUM('GF Rev by Obj'!H8:H10),0)</f>
        <v>404932518</v>
      </c>
      <c r="G9" s="58">
        <f>+F9-D9</f>
        <v>32374704</v>
      </c>
      <c r="H9" s="5"/>
    </row>
    <row r="10" spans="1:8" x14ac:dyDescent="0.25">
      <c r="A10" s="105"/>
      <c r="B10" s="56" t="s">
        <v>37</v>
      </c>
      <c r="C10" s="75">
        <f>ROUND(SUM('GF Rev by Obj'!C11:C23),0)</f>
        <v>11757999</v>
      </c>
      <c r="D10" s="65">
        <f>ROUND(SUM('GF Rev by Obj'!E11:E23),0)</f>
        <v>13449551</v>
      </c>
      <c r="E10" s="65">
        <f>+'GF Rev by Obj'!G24-'GF by funct'!E9</f>
        <v>10688132.640000045</v>
      </c>
      <c r="F10" s="65">
        <f>ROUND(SUM('GF Rev by Obj'!H11:H23),0)</f>
        <v>14053070</v>
      </c>
      <c r="G10" s="65">
        <f>+F10-D10</f>
        <v>603519</v>
      </c>
      <c r="H10" s="5"/>
    </row>
    <row r="11" spans="1:8" x14ac:dyDescent="0.25">
      <c r="A11" s="105"/>
      <c r="B11" s="56" t="s">
        <v>38</v>
      </c>
      <c r="C11" s="75">
        <f>ROUND(SUM('GF Rev by Obj'!C27:C32),0)</f>
        <v>89865310</v>
      </c>
      <c r="D11" s="77">
        <f>ROUND(SUM('GF Rev by Obj'!E27:E32),0)</f>
        <v>65215492</v>
      </c>
      <c r="E11" s="93">
        <f>+'GF Rev by Obj'!G33</f>
        <v>68640250.579999998</v>
      </c>
      <c r="F11" s="93">
        <f>ROUND(SUM('GF Rev by Obj'!H27:H32),0)</f>
        <v>64797332</v>
      </c>
      <c r="G11" s="65">
        <f t="shared" ref="G11:G12" si="0">+F11-D11</f>
        <v>-418160</v>
      </c>
      <c r="H11" s="5"/>
    </row>
    <row r="12" spans="1:8" x14ac:dyDescent="0.25">
      <c r="A12" s="105"/>
      <c r="B12" s="56" t="s">
        <v>42</v>
      </c>
      <c r="C12" s="75">
        <f>ROUND(SUM('GF Rev by Obj'!C36:C41),0)</f>
        <v>7010280</v>
      </c>
      <c r="D12" s="77">
        <f>SUM('GF Rev by Obj'!E36:E41)</f>
        <v>5698900</v>
      </c>
      <c r="E12" s="77">
        <f>+'GF Rev by Obj'!G42</f>
        <v>6607038.4800000004</v>
      </c>
      <c r="F12" s="77">
        <f>ROUND(SUM('GF Rev by Obj'!H36:H41),0)</f>
        <v>6199000</v>
      </c>
      <c r="G12" s="65">
        <f t="shared" si="0"/>
        <v>500100</v>
      </c>
      <c r="H12" s="5"/>
    </row>
    <row r="13" spans="1:8" x14ac:dyDescent="0.25">
      <c r="A13" s="105"/>
      <c r="B13" s="49" t="s">
        <v>201</v>
      </c>
      <c r="C13" s="94">
        <f t="shared" ref="C13:D13" si="1">SUM(C9:C12)</f>
        <v>450311469</v>
      </c>
      <c r="D13" s="94">
        <f t="shared" si="1"/>
        <v>456921757</v>
      </c>
      <c r="E13" s="94">
        <f>SUM(E9:E12)</f>
        <v>426041679.11000007</v>
      </c>
      <c r="F13" s="94">
        <f>SUM(F9:F12)</f>
        <v>489981920</v>
      </c>
      <c r="G13" s="94">
        <f>SUM(G9:G12)</f>
        <v>33060163</v>
      </c>
      <c r="H13" s="5"/>
    </row>
    <row r="14" spans="1:8" x14ac:dyDescent="0.25">
      <c r="A14" s="105"/>
      <c r="B14" s="92"/>
      <c r="C14" s="106"/>
      <c r="D14" s="91"/>
      <c r="E14" s="85"/>
      <c r="F14" s="85"/>
      <c r="G14" s="85"/>
      <c r="H14" s="5"/>
    </row>
    <row r="15" spans="1:8" x14ac:dyDescent="0.25">
      <c r="A15" s="105"/>
      <c r="B15" s="2" t="s">
        <v>4</v>
      </c>
      <c r="C15" s="106"/>
      <c r="D15" s="91"/>
      <c r="E15" s="85"/>
      <c r="F15" s="85"/>
      <c r="G15" s="85"/>
      <c r="H15" s="5"/>
    </row>
    <row r="16" spans="1:8" x14ac:dyDescent="0.25">
      <c r="A16" s="105">
        <v>11</v>
      </c>
      <c r="B16" s="86" t="s">
        <v>5</v>
      </c>
      <c r="C16" s="75">
        <v>272580118</v>
      </c>
      <c r="D16" s="75">
        <f>'GF exp by funct and maj obj'!C14</f>
        <v>287774415</v>
      </c>
      <c r="E16" s="65">
        <f>250400383.36+1130569.45+209709.09</f>
        <v>251740661.90000001</v>
      </c>
      <c r="F16" s="75">
        <f>'GF exp by funct and maj obj'!E14</f>
        <v>283320720</v>
      </c>
      <c r="G16" s="65">
        <f>+F16-D16</f>
        <v>-4453695</v>
      </c>
      <c r="H16" s="5"/>
    </row>
    <row r="17" spans="1:9" x14ac:dyDescent="0.25">
      <c r="A17" s="105">
        <v>12</v>
      </c>
      <c r="B17" s="86" t="s">
        <v>6</v>
      </c>
      <c r="C17" s="75">
        <v>6300720</v>
      </c>
      <c r="D17" s="75">
        <f>'GF exp by funct and maj obj'!C21</f>
        <v>6441033</v>
      </c>
      <c r="E17" s="65">
        <f>5814724.33+25963.26</f>
        <v>5840687.5899999999</v>
      </c>
      <c r="F17" s="75">
        <f>'GF exp by funct and maj obj'!E21</f>
        <v>5825228</v>
      </c>
      <c r="G17" s="65">
        <f t="shared" ref="G17:G37" si="2">+F17-D17</f>
        <v>-615805</v>
      </c>
      <c r="H17" s="5"/>
    </row>
    <row r="18" spans="1:9" x14ac:dyDescent="0.25">
      <c r="A18" s="105">
        <v>13</v>
      </c>
      <c r="B18" s="86" t="s">
        <v>7</v>
      </c>
      <c r="C18" s="75">
        <v>2221057</v>
      </c>
      <c r="D18" s="75">
        <f>'GF exp by funct and maj obj'!C28</f>
        <v>2699563</v>
      </c>
      <c r="E18" s="65">
        <f>1794486.14+44257.66+5953.05</f>
        <v>1844696.8499999999</v>
      </c>
      <c r="F18" s="75">
        <f>'GF exp by funct and maj obj'!E28</f>
        <v>2832774</v>
      </c>
      <c r="G18" s="65">
        <f t="shared" si="2"/>
        <v>133211</v>
      </c>
      <c r="H18" s="5"/>
    </row>
    <row r="19" spans="1:9" x14ac:dyDescent="0.25">
      <c r="A19" s="105">
        <v>21</v>
      </c>
      <c r="B19" s="86" t="s">
        <v>8</v>
      </c>
      <c r="C19" s="75">
        <v>9301051</v>
      </c>
      <c r="D19" s="75">
        <f>'GF exp by funct and maj obj'!C35</f>
        <v>9900368</v>
      </c>
      <c r="E19" s="65">
        <f>8345619.99+25239.09+9358.83</f>
        <v>8380217.9100000001</v>
      </c>
      <c r="F19" s="75">
        <f>'GF exp by funct and maj obj'!E35</f>
        <v>11236060</v>
      </c>
      <c r="G19" s="65">
        <f t="shared" si="2"/>
        <v>1335692</v>
      </c>
      <c r="H19" s="5"/>
    </row>
    <row r="20" spans="1:9" x14ac:dyDescent="0.25">
      <c r="A20" s="105">
        <v>23</v>
      </c>
      <c r="B20" s="86" t="s">
        <v>9</v>
      </c>
      <c r="C20" s="75">
        <v>29783013</v>
      </c>
      <c r="D20" s="75">
        <f>'GF exp by funct and maj obj'!C42</f>
        <v>30351269</v>
      </c>
      <c r="E20" s="65">
        <f>27280216.66+37261.82+2596.94</f>
        <v>27320075.420000002</v>
      </c>
      <c r="F20" s="75">
        <f>'GF exp by funct and maj obj'!E42</f>
        <v>28692585</v>
      </c>
      <c r="G20" s="65">
        <f t="shared" si="2"/>
        <v>-1658684</v>
      </c>
      <c r="H20" s="5"/>
    </row>
    <row r="21" spans="1:9" x14ac:dyDescent="0.25">
      <c r="A21" s="105">
        <v>31</v>
      </c>
      <c r="B21" s="86" t="s">
        <v>10</v>
      </c>
      <c r="C21" s="75">
        <v>19288684</v>
      </c>
      <c r="D21" s="75">
        <f>'GF exp by funct and maj obj'!C49</f>
        <v>20751429</v>
      </c>
      <c r="E21" s="65">
        <f>17672092.61+27695.72+2957.4</f>
        <v>17702745.729999997</v>
      </c>
      <c r="F21" s="75">
        <f>'GF exp by funct and maj obj'!E49</f>
        <v>19818973</v>
      </c>
      <c r="G21" s="65">
        <f t="shared" si="2"/>
        <v>-932456</v>
      </c>
      <c r="H21" s="5"/>
    </row>
    <row r="22" spans="1:9" x14ac:dyDescent="0.25">
      <c r="A22" s="105">
        <v>32</v>
      </c>
      <c r="B22" s="86" t="s">
        <v>11</v>
      </c>
      <c r="C22" s="75">
        <v>95657</v>
      </c>
      <c r="D22" s="75">
        <f>'GF exp by funct and maj obj'!C61</f>
        <v>101519</v>
      </c>
      <c r="E22" s="65">
        <f>882531.74+4177.2</f>
        <v>886708.94</v>
      </c>
      <c r="F22" s="75">
        <f>'GF exp by funct and maj obj'!E61</f>
        <v>214132</v>
      </c>
      <c r="G22" s="65">
        <f t="shared" si="2"/>
        <v>112613</v>
      </c>
      <c r="H22" s="5"/>
    </row>
    <row r="23" spans="1:9" x14ac:dyDescent="0.25">
      <c r="A23" s="105">
        <v>33</v>
      </c>
      <c r="B23" s="86" t="s">
        <v>12</v>
      </c>
      <c r="C23" s="75">
        <v>5148675</v>
      </c>
      <c r="D23" s="75">
        <f>'GF exp by funct and maj obj'!C68</f>
        <v>5431299</v>
      </c>
      <c r="E23" s="65">
        <f>4740397.6+6234.27+7.08</f>
        <v>4746638.9499999993</v>
      </c>
      <c r="F23" s="75">
        <f>'GF exp by funct and maj obj'!E68</f>
        <v>4895194</v>
      </c>
      <c r="G23" s="65">
        <f t="shared" si="2"/>
        <v>-536105</v>
      </c>
      <c r="H23" s="5"/>
    </row>
    <row r="24" spans="1:9" x14ac:dyDescent="0.25">
      <c r="A24" s="105">
        <v>34</v>
      </c>
      <c r="B24" s="86" t="s">
        <v>13</v>
      </c>
      <c r="C24" s="75">
        <v>13698405</v>
      </c>
      <c r="D24" s="75">
        <f>'GF exp by funct and maj obj'!C73</f>
        <v>15183118</v>
      </c>
      <c r="E24" s="65">
        <f>13071453.53+4042.13</f>
        <v>13075495.66</v>
      </c>
      <c r="F24" s="75">
        <f>'GF exp by funct and maj obj'!E73</f>
        <v>15209089</v>
      </c>
      <c r="G24" s="65">
        <f t="shared" si="2"/>
        <v>25971</v>
      </c>
      <c r="H24" s="5"/>
    </row>
    <row r="25" spans="1:9" x14ac:dyDescent="0.25">
      <c r="A25" s="105">
        <v>35</v>
      </c>
      <c r="B25" s="86" t="s">
        <v>14</v>
      </c>
      <c r="C25" s="75">
        <v>61328</v>
      </c>
      <c r="D25" s="75">
        <f>'GF exp by funct and maj obj'!C81</f>
        <v>34134</v>
      </c>
      <c r="E25" s="65">
        <f>58137.95</f>
        <v>58137.95</v>
      </c>
      <c r="F25" s="75">
        <f>'GF exp by funct and maj obj'!E81</f>
        <v>39099</v>
      </c>
      <c r="G25" s="65">
        <f t="shared" si="2"/>
        <v>4965</v>
      </c>
      <c r="H25" s="5"/>
    </row>
    <row r="26" spans="1:9" x14ac:dyDescent="0.25">
      <c r="A26" s="105">
        <v>36</v>
      </c>
      <c r="B26" s="86" t="s">
        <v>15</v>
      </c>
      <c r="C26" s="75">
        <v>10443262</v>
      </c>
      <c r="D26" s="75">
        <f>'GF exp by funct and maj obj'!C89</f>
        <v>10229027</v>
      </c>
      <c r="E26" s="65">
        <f>9625460.54+297750.93+3086.26</f>
        <v>9926297.7299999986</v>
      </c>
      <c r="F26" s="75">
        <f>'GF exp by funct and maj obj'!E89</f>
        <v>11491934</v>
      </c>
      <c r="G26" s="65">
        <f t="shared" si="2"/>
        <v>1262907</v>
      </c>
      <c r="H26" s="5"/>
    </row>
    <row r="27" spans="1:9" x14ac:dyDescent="0.25">
      <c r="A27" s="105">
        <v>41</v>
      </c>
      <c r="B27" s="86" t="s">
        <v>16</v>
      </c>
      <c r="C27" s="75">
        <v>9573901</v>
      </c>
      <c r="D27" s="75">
        <f>'GF exp by funct and maj obj'!C96</f>
        <v>10739698</v>
      </c>
      <c r="E27" s="65">
        <f>8618600.5+139318.83+5504.88</f>
        <v>8763424.2100000009</v>
      </c>
      <c r="F27" s="75">
        <f>'GF exp by funct and maj obj'!E96</f>
        <v>11264474</v>
      </c>
      <c r="G27" s="65">
        <f t="shared" si="2"/>
        <v>524776</v>
      </c>
      <c r="H27" s="5"/>
    </row>
    <row r="28" spans="1:9" x14ac:dyDescent="0.25">
      <c r="A28" s="105">
        <v>51</v>
      </c>
      <c r="B28" s="86" t="s">
        <v>17</v>
      </c>
      <c r="C28" s="75">
        <v>37896783</v>
      </c>
      <c r="D28" s="75">
        <f>'GF exp by funct and maj obj'!C104</f>
        <v>41085833</v>
      </c>
      <c r="E28" s="65">
        <f>29174837.07+2425224.96+2294125.51</f>
        <v>33894187.539999999</v>
      </c>
      <c r="F28" s="75">
        <f>'GF exp by funct and maj obj'!E104</f>
        <v>43946478</v>
      </c>
      <c r="G28" s="65">
        <f t="shared" si="2"/>
        <v>2860645</v>
      </c>
      <c r="H28" s="5"/>
    </row>
    <row r="29" spans="1:9" x14ac:dyDescent="0.25">
      <c r="A29" s="105">
        <v>52</v>
      </c>
      <c r="B29" s="86" t="s">
        <v>18</v>
      </c>
      <c r="C29" s="75">
        <v>2126050</v>
      </c>
      <c r="D29" s="75">
        <f>'GF exp by funct and maj obj'!C119</f>
        <v>2001809</v>
      </c>
      <c r="E29" s="65">
        <f>1841394.27+178803.49</f>
        <v>2020197.76</v>
      </c>
      <c r="F29" s="75">
        <f>'GF exp by funct and maj obj'!E119</f>
        <v>2763869</v>
      </c>
      <c r="G29" s="65">
        <f t="shared" si="2"/>
        <v>762060</v>
      </c>
      <c r="H29" s="5"/>
    </row>
    <row r="30" spans="1:9" x14ac:dyDescent="0.25">
      <c r="A30" s="105">
        <v>53</v>
      </c>
      <c r="B30" s="86" t="s">
        <v>19</v>
      </c>
      <c r="C30" s="75">
        <v>9700756</v>
      </c>
      <c r="D30" s="75">
        <f>'GF exp by funct and maj obj'!C127</f>
        <v>11392189</v>
      </c>
      <c r="E30" s="65">
        <f>8788849.2+210912.26+117966.87</f>
        <v>9117728.3299999982</v>
      </c>
      <c r="F30" s="75">
        <f>'GF exp by funct and maj obj'!E127</f>
        <v>12294291</v>
      </c>
      <c r="G30" s="65">
        <f t="shared" si="2"/>
        <v>902102</v>
      </c>
      <c r="H30" s="5"/>
    </row>
    <row r="31" spans="1:9" x14ac:dyDescent="0.25">
      <c r="A31" s="105">
        <v>61</v>
      </c>
      <c r="B31" s="86" t="s">
        <v>20</v>
      </c>
      <c r="C31" s="75">
        <v>6047999</v>
      </c>
      <c r="D31" s="75">
        <f>'GF exp by funct and maj obj'!C134</f>
        <v>7942293</v>
      </c>
      <c r="E31" s="65">
        <f>5386295.69+19884.79+95.47</f>
        <v>5406275.9500000002</v>
      </c>
      <c r="F31" s="75">
        <f>'GF exp by funct and maj obj'!E134</f>
        <v>6496827</v>
      </c>
      <c r="G31" s="65">
        <f t="shared" si="2"/>
        <v>-1445466</v>
      </c>
      <c r="H31" s="5"/>
    </row>
    <row r="32" spans="1:9" x14ac:dyDescent="0.25">
      <c r="A32" s="105">
        <v>71</v>
      </c>
      <c r="B32" s="86" t="s">
        <v>21</v>
      </c>
      <c r="C32" s="75">
        <v>658425</v>
      </c>
      <c r="D32" s="75">
        <f>'GF exp by funct and maj obj'!C139</f>
        <v>658426</v>
      </c>
      <c r="E32" s="65">
        <f>658425.2</f>
        <v>658425.19999999995</v>
      </c>
      <c r="F32" s="75">
        <f>'GF exp by funct and maj obj'!E139</f>
        <v>0</v>
      </c>
      <c r="G32" s="65">
        <f t="shared" si="2"/>
        <v>-658426</v>
      </c>
      <c r="H32" s="5"/>
      <c r="I32" s="1"/>
    </row>
    <row r="33" spans="1:9" x14ac:dyDescent="0.25">
      <c r="A33" s="105">
        <v>81</v>
      </c>
      <c r="B33" s="86" t="s">
        <v>22</v>
      </c>
      <c r="C33" s="75">
        <v>42834</v>
      </c>
      <c r="D33" s="75">
        <f>'GF exp by funct and maj obj'!C37</f>
        <v>0</v>
      </c>
      <c r="E33" s="65">
        <v>42834</v>
      </c>
      <c r="F33" s="75">
        <v>0</v>
      </c>
      <c r="G33" s="65">
        <f t="shared" si="2"/>
        <v>0</v>
      </c>
      <c r="H33" s="5"/>
      <c r="I33" s="1" t="s">
        <v>172</v>
      </c>
    </row>
    <row r="34" spans="1:9" x14ac:dyDescent="0.25">
      <c r="A34" s="105">
        <v>91</v>
      </c>
      <c r="B34" s="86" t="s">
        <v>188</v>
      </c>
      <c r="C34" s="75">
        <v>0</v>
      </c>
      <c r="D34" s="75">
        <v>0</v>
      </c>
      <c r="E34" s="65"/>
      <c r="F34" s="75">
        <f>'GF exp by funct and maj obj'!E143</f>
        <v>34476000</v>
      </c>
      <c r="G34" s="65">
        <f t="shared" si="2"/>
        <v>34476000</v>
      </c>
      <c r="H34" s="5"/>
      <c r="I34" s="1"/>
    </row>
    <row r="35" spans="1:9" x14ac:dyDescent="0.25">
      <c r="A35" s="105">
        <v>93</v>
      </c>
      <c r="B35" s="86" t="s">
        <v>23</v>
      </c>
      <c r="C35" s="75">
        <v>82342</v>
      </c>
      <c r="D35" s="75">
        <f>'GF exp by funct and maj obj'!C152</f>
        <v>210000</v>
      </c>
      <c r="E35" s="65">
        <v>210000</v>
      </c>
      <c r="F35" s="75">
        <f>'GF exp by funct and maj obj'!E152</f>
        <v>210000</v>
      </c>
      <c r="G35" s="65">
        <f t="shared" si="2"/>
        <v>0</v>
      </c>
      <c r="H35" s="5"/>
      <c r="I35" s="1"/>
    </row>
    <row r="36" spans="1:9" x14ac:dyDescent="0.25">
      <c r="A36" s="105">
        <v>95</v>
      </c>
      <c r="B36" s="86" t="s">
        <v>204</v>
      </c>
      <c r="C36" s="75">
        <v>87576</v>
      </c>
      <c r="D36" s="75">
        <f>'GF exp by funct and maj obj'!C156</f>
        <v>200000</v>
      </c>
      <c r="E36" s="65">
        <v>200000</v>
      </c>
      <c r="F36" s="75">
        <f>'GF exp by funct and maj obj'!E156</f>
        <v>200000</v>
      </c>
      <c r="G36" s="65">
        <f t="shared" si="2"/>
        <v>0</v>
      </c>
      <c r="H36" s="5"/>
      <c r="I36" s="1"/>
    </row>
    <row r="37" spans="1:9" x14ac:dyDescent="0.25">
      <c r="A37" s="105">
        <v>99</v>
      </c>
      <c r="B37" s="86" t="s">
        <v>24</v>
      </c>
      <c r="C37" s="75">
        <v>2853234</v>
      </c>
      <c r="D37" s="75">
        <f>'GF exp by funct and maj obj'!C160</f>
        <v>2949800</v>
      </c>
      <c r="E37" s="65">
        <v>2853235</v>
      </c>
      <c r="F37" s="75">
        <f>'GF exp by funct and maj obj'!E160</f>
        <v>3282088</v>
      </c>
      <c r="G37" s="65">
        <f t="shared" si="2"/>
        <v>332288</v>
      </c>
      <c r="H37" s="5"/>
      <c r="I37" s="1" t="s">
        <v>173</v>
      </c>
    </row>
    <row r="38" spans="1:9" x14ac:dyDescent="0.25">
      <c r="A38" s="105"/>
      <c r="B38" s="2" t="s">
        <v>25</v>
      </c>
      <c r="C38" s="81">
        <f t="shared" ref="C38:D38" si="3">SUM(C16:C37)</f>
        <v>437991870</v>
      </c>
      <c r="D38" s="81">
        <f t="shared" si="3"/>
        <v>466077222</v>
      </c>
      <c r="E38" s="81">
        <f>SUM(E16:E37)</f>
        <v>404688672.62</v>
      </c>
      <c r="F38" s="81">
        <f>SUM(F16:F37)</f>
        <v>498509815</v>
      </c>
      <c r="G38" s="81">
        <f>SUM(G16:G37)</f>
        <v>32432593</v>
      </c>
      <c r="H38" s="5"/>
      <c r="I38" s="1"/>
    </row>
    <row r="39" spans="1:9" x14ac:dyDescent="0.25">
      <c r="A39" s="105"/>
      <c r="B39" s="92"/>
      <c r="C39" s="106"/>
      <c r="D39" s="91"/>
      <c r="E39" s="85"/>
      <c r="F39" s="85"/>
      <c r="G39" s="85"/>
      <c r="H39" s="5"/>
      <c r="I39" s="1"/>
    </row>
    <row r="40" spans="1:9" x14ac:dyDescent="0.25">
      <c r="A40" s="105"/>
      <c r="B40" s="92"/>
      <c r="C40" s="106"/>
      <c r="D40" s="91"/>
      <c r="E40" s="85"/>
      <c r="F40" s="85"/>
      <c r="G40" s="85"/>
      <c r="H40" s="5"/>
      <c r="I40" s="1"/>
    </row>
    <row r="41" spans="1:9" x14ac:dyDescent="0.25">
      <c r="A41" s="105"/>
      <c r="B41" s="2" t="s">
        <v>184</v>
      </c>
      <c r="C41" s="106"/>
      <c r="D41" s="91"/>
      <c r="E41" s="85"/>
      <c r="F41" s="85"/>
      <c r="G41" s="85"/>
      <c r="H41" s="5"/>
      <c r="I41" s="1"/>
    </row>
    <row r="42" spans="1:9" x14ac:dyDescent="0.25">
      <c r="A42" s="105"/>
      <c r="B42" s="2" t="s">
        <v>185</v>
      </c>
      <c r="C42" s="96">
        <f t="shared" ref="C42:D42" si="4">+C13-C38</f>
        <v>12319599</v>
      </c>
      <c r="D42" s="96">
        <f t="shared" si="4"/>
        <v>-9155465</v>
      </c>
      <c r="E42" s="96">
        <f>+E13-E38</f>
        <v>21353006.490000069</v>
      </c>
      <c r="F42" s="96">
        <f>+F13-F38</f>
        <v>-8527895</v>
      </c>
      <c r="G42" s="96">
        <f>+G13-G38</f>
        <v>627570</v>
      </c>
      <c r="H42" s="5"/>
      <c r="I42" s="1"/>
    </row>
    <row r="43" spans="1:9" x14ac:dyDescent="0.25">
      <c r="A43" s="105"/>
      <c r="B43" s="2"/>
      <c r="C43" s="85"/>
      <c r="D43" s="91"/>
      <c r="E43" s="85"/>
      <c r="F43" s="92"/>
      <c r="G43" s="85"/>
      <c r="H43" s="5"/>
      <c r="I43" s="1"/>
    </row>
    <row r="44" spans="1:9" x14ac:dyDescent="0.25">
      <c r="A44" s="105"/>
      <c r="B44" s="2" t="s">
        <v>197</v>
      </c>
      <c r="C44" s="85"/>
      <c r="D44" s="91"/>
      <c r="E44" s="85"/>
      <c r="F44" s="92"/>
      <c r="G44" s="85"/>
      <c r="H44" s="5"/>
      <c r="I44" s="1"/>
    </row>
    <row r="45" spans="1:9" x14ac:dyDescent="0.25">
      <c r="A45" s="105"/>
      <c r="B45" s="92" t="s">
        <v>29</v>
      </c>
      <c r="C45" s="75">
        <v>56170</v>
      </c>
      <c r="D45" s="297">
        <f>+'GF Rev by Obj'!E49</f>
        <v>0</v>
      </c>
      <c r="E45" s="297">
        <f>+'GF Rev by Obj'!G49</f>
        <v>0</v>
      </c>
      <c r="F45" s="297">
        <f>+'GF Rev by Obj'!H49</f>
        <v>0</v>
      </c>
      <c r="G45" s="65">
        <f>+F45-D45</f>
        <v>0</v>
      </c>
      <c r="H45" s="5"/>
      <c r="I45" s="1"/>
    </row>
    <row r="46" spans="1:9" x14ac:dyDescent="0.25">
      <c r="A46" s="105"/>
      <c r="B46" s="92" t="s">
        <v>30</v>
      </c>
      <c r="C46" s="75">
        <v>-1700000</v>
      </c>
      <c r="D46" s="297">
        <v>-500000</v>
      </c>
      <c r="E46" s="297">
        <v>1700000</v>
      </c>
      <c r="F46" s="297">
        <v>0</v>
      </c>
      <c r="G46" s="65">
        <f>+F46-D46</f>
        <v>500000</v>
      </c>
      <c r="H46" s="5"/>
      <c r="I46" s="1"/>
    </row>
    <row r="47" spans="1:9" x14ac:dyDescent="0.25">
      <c r="A47" s="105"/>
      <c r="B47" s="17" t="s">
        <v>31</v>
      </c>
      <c r="C47" s="295">
        <f>SUM(C45:C46)</f>
        <v>-1643830</v>
      </c>
      <c r="D47" s="295">
        <f>SUM(D45:D46)</f>
        <v>-500000</v>
      </c>
      <c r="E47" s="295">
        <f>+E45-E46</f>
        <v>-1700000</v>
      </c>
      <c r="F47" s="295">
        <f>SUM(F45:F46)</f>
        <v>0</v>
      </c>
      <c r="G47" s="295">
        <f>SUM(G45:G46)</f>
        <v>500000</v>
      </c>
      <c r="H47" s="5"/>
      <c r="I47" s="1"/>
    </row>
    <row r="48" spans="1:9" x14ac:dyDescent="0.25">
      <c r="A48" s="105"/>
      <c r="B48" s="92"/>
      <c r="C48" s="106"/>
      <c r="D48" s="91"/>
      <c r="E48" s="85"/>
      <c r="F48" s="85"/>
      <c r="G48" s="85"/>
      <c r="H48" s="5"/>
    </row>
    <row r="49" spans="1:8" ht="15.75" thickBot="1" x14ac:dyDescent="0.3">
      <c r="A49" s="105"/>
      <c r="B49" s="2" t="s">
        <v>161</v>
      </c>
      <c r="C49" s="117">
        <f>+C42+C47</f>
        <v>10675769</v>
      </c>
      <c r="D49" s="117">
        <f>+D42+D47</f>
        <v>-9655465</v>
      </c>
      <c r="E49" s="117">
        <v>4000000</v>
      </c>
      <c r="F49" s="117">
        <f>+F42+F47</f>
        <v>-8527895</v>
      </c>
      <c r="G49" s="117">
        <f>+G42+G47</f>
        <v>1127570</v>
      </c>
      <c r="H49" s="5"/>
    </row>
    <row r="50" spans="1:8" ht="15.75" thickTop="1" x14ac:dyDescent="0.25">
      <c r="A50" s="105"/>
      <c r="B50" s="92"/>
      <c r="C50" s="106"/>
      <c r="D50" s="77"/>
      <c r="E50" s="77"/>
      <c r="F50" s="77"/>
      <c r="G50" s="77"/>
      <c r="H50" s="5"/>
    </row>
    <row r="51" spans="1:8" hidden="1" x14ac:dyDescent="0.25">
      <c r="A51" s="105"/>
      <c r="B51" s="56" t="s">
        <v>34</v>
      </c>
      <c r="C51" s="75">
        <v>158671093</v>
      </c>
      <c r="D51" s="99">
        <f>C52</f>
        <v>169346862</v>
      </c>
      <c r="E51" s="77">
        <f>C52</f>
        <v>169346862</v>
      </c>
      <c r="F51" s="102">
        <f>+E52</f>
        <v>173346862</v>
      </c>
      <c r="G51" s="100"/>
      <c r="H51" s="5"/>
    </row>
    <row r="52" spans="1:8" ht="15.75" hidden="1" thickBot="1" x14ac:dyDescent="0.3">
      <c r="A52" s="105"/>
      <c r="B52" s="2" t="s">
        <v>35</v>
      </c>
      <c r="C52" s="103">
        <f t="shared" ref="C52:D52" si="5">SUM(C49:C51)</f>
        <v>169346862</v>
      </c>
      <c r="D52" s="103">
        <f t="shared" si="5"/>
        <v>159691397</v>
      </c>
      <c r="E52" s="103">
        <f>SUM(E49:E51)</f>
        <v>173346862</v>
      </c>
      <c r="F52" s="103">
        <f>SUM(F49:F51)</f>
        <v>164818967</v>
      </c>
      <c r="G52" s="107"/>
      <c r="H52" s="5"/>
    </row>
    <row r="53" spans="1:8" ht="15.75" hidden="1" thickTop="1" x14ac:dyDescent="0.25">
      <c r="A53" s="105"/>
      <c r="B53" s="92"/>
      <c r="C53" s="85"/>
      <c r="D53" s="91"/>
      <c r="E53" s="85"/>
      <c r="F53" s="92"/>
      <c r="G53" s="90"/>
      <c r="H53" s="5"/>
    </row>
    <row r="54" spans="1:8" x14ac:dyDescent="0.25">
      <c r="A54" s="105"/>
      <c r="B54" s="105"/>
      <c r="C54" s="106"/>
      <c r="D54" s="106"/>
      <c r="E54" s="106"/>
      <c r="F54" s="106"/>
      <c r="G54" s="90"/>
    </row>
    <row r="55" spans="1:8" x14ac:dyDescent="0.25">
      <c r="A55" s="105"/>
      <c r="B55" s="105"/>
      <c r="C55" s="106"/>
      <c r="D55" s="106"/>
      <c r="E55" s="106"/>
      <c r="F55" s="109"/>
      <c r="G55" s="85"/>
    </row>
    <row r="56" spans="1:8" x14ac:dyDescent="0.25">
      <c r="A56" s="105"/>
      <c r="B56" s="105"/>
      <c r="C56" s="106"/>
      <c r="D56" s="106"/>
      <c r="E56" s="106"/>
      <c r="F56" s="106"/>
      <c r="G56" s="85"/>
    </row>
    <row r="57" spans="1:8" x14ac:dyDescent="0.25">
      <c r="A57" s="105"/>
      <c r="B57" s="105"/>
      <c r="C57" s="106"/>
      <c r="D57" s="106"/>
      <c r="E57" s="106"/>
      <c r="F57" s="106"/>
      <c r="G57" s="85"/>
    </row>
    <row r="58" spans="1:8" x14ac:dyDescent="0.25">
      <c r="A58" s="105"/>
      <c r="B58" s="105"/>
      <c r="C58" s="106"/>
      <c r="D58" s="106"/>
      <c r="E58" s="106"/>
      <c r="F58" s="106"/>
      <c r="G58" s="85"/>
    </row>
    <row r="59" spans="1:8" x14ac:dyDescent="0.25">
      <c r="A59" s="105"/>
      <c r="B59" s="105"/>
      <c r="C59" s="106"/>
      <c r="D59" s="106"/>
      <c r="E59" s="106"/>
      <c r="F59" s="106"/>
      <c r="G59" s="85"/>
    </row>
    <row r="60" spans="1:8" x14ac:dyDescent="0.25">
      <c r="A60" s="105"/>
      <c r="B60" s="105"/>
      <c r="C60" s="106"/>
      <c r="D60" s="106"/>
      <c r="E60" s="106"/>
      <c r="F60" s="106"/>
      <c r="G60" s="105"/>
    </row>
    <row r="61" spans="1:8" x14ac:dyDescent="0.25">
      <c r="A61" s="105"/>
      <c r="B61" s="105"/>
      <c r="C61" s="106"/>
      <c r="D61" s="106"/>
      <c r="E61" s="106"/>
      <c r="F61" s="106"/>
      <c r="G61" s="105"/>
    </row>
    <row r="62" spans="1:8" x14ac:dyDescent="0.25">
      <c r="A62" s="105"/>
      <c r="B62" s="105"/>
      <c r="C62" s="106"/>
      <c r="D62" s="106"/>
      <c r="E62" s="106"/>
      <c r="F62" s="106"/>
      <c r="G62" s="105"/>
    </row>
    <row r="63" spans="1:8" x14ac:dyDescent="0.25">
      <c r="A63" s="105"/>
      <c r="B63" s="105"/>
      <c r="C63" s="106"/>
      <c r="D63" s="106"/>
      <c r="E63" s="106"/>
      <c r="F63" s="109"/>
      <c r="G63" s="105"/>
    </row>
    <row r="64" spans="1:8" x14ac:dyDescent="0.25">
      <c r="A64" s="105"/>
      <c r="B64" s="105"/>
      <c r="C64" s="106"/>
      <c r="D64" s="106"/>
      <c r="E64" s="106"/>
      <c r="F64" s="106"/>
      <c r="G64" s="105"/>
    </row>
    <row r="65" spans="1:7" x14ac:dyDescent="0.25">
      <c r="A65" s="105"/>
      <c r="B65" s="105"/>
      <c r="C65" s="106"/>
      <c r="D65" s="106"/>
      <c r="E65" s="106"/>
      <c r="F65" s="106"/>
      <c r="G65" s="105"/>
    </row>
    <row r="66" spans="1:7" x14ac:dyDescent="0.25">
      <c r="A66" s="105"/>
      <c r="B66" s="105"/>
      <c r="C66" s="106"/>
      <c r="D66" s="106"/>
      <c r="E66" s="106"/>
      <c r="F66" s="106"/>
      <c r="G66" s="105"/>
    </row>
  </sheetData>
  <mergeCells count="2">
    <mergeCell ref="B1:G1"/>
    <mergeCell ref="B2:G2"/>
  </mergeCells>
  <pageMargins left="0.7" right="0.7" top="0.75" bottom="0.75" header="0.3" footer="0.3"/>
  <pageSetup scale="81" orientation="portrait" r:id="rId1"/>
  <headerFooter>
    <oddFooter>&amp;C&amp;"Arial,Regular"&amp;10 -2-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121"/>
  <sheetViews>
    <sheetView topLeftCell="A17" zoomScaleNormal="100" workbookViewId="0">
      <selection activeCell="I51" sqref="I51"/>
    </sheetView>
  </sheetViews>
  <sheetFormatPr defaultColWidth="9.140625" defaultRowHeight="12" x14ac:dyDescent="0.2"/>
  <cols>
    <col min="1" max="1" width="6" style="38" customWidth="1"/>
    <col min="2" max="2" width="35" style="38" customWidth="1"/>
    <col min="3" max="3" width="13.42578125" style="42" customWidth="1"/>
    <col min="4" max="4" width="11.85546875" style="54" hidden="1" customWidth="1"/>
    <col min="5" max="5" width="13.42578125" style="42" customWidth="1"/>
    <col min="6" max="6" width="15.28515625" style="54" hidden="1" customWidth="1"/>
    <col min="7" max="7" width="12.85546875" style="42" hidden="1" customWidth="1"/>
    <col min="8" max="8" width="13.42578125" style="42" bestFit="1" customWidth="1"/>
    <col min="9" max="9" width="16.140625" style="39" customWidth="1"/>
    <col min="10" max="10" width="1.5703125" style="38" customWidth="1"/>
    <col min="11" max="11" width="0" style="38" hidden="1" customWidth="1"/>
    <col min="12" max="12" width="12.5703125" style="39" hidden="1" customWidth="1"/>
    <col min="13" max="13" width="9.140625" style="38"/>
    <col min="14" max="14" width="12.85546875" style="59" bestFit="1" customWidth="1"/>
    <col min="15" max="16384" width="9.140625" style="38"/>
  </cols>
  <sheetData>
    <row r="1" spans="1:24" ht="12.75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L1" s="38"/>
    </row>
    <row r="2" spans="1:24" ht="12.75" x14ac:dyDescent="0.2">
      <c r="A2" s="310" t="s">
        <v>46</v>
      </c>
      <c r="B2" s="310"/>
      <c r="C2" s="310"/>
      <c r="D2" s="310"/>
      <c r="E2" s="310"/>
      <c r="F2" s="310"/>
      <c r="G2" s="310"/>
      <c r="H2" s="310"/>
      <c r="I2" s="310"/>
      <c r="L2" s="38"/>
      <c r="N2" s="42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spans="1:24" ht="12.75" x14ac:dyDescent="0.2">
      <c r="A3" s="105"/>
      <c r="B3" s="105"/>
      <c r="C3" s="75"/>
      <c r="D3" s="156"/>
      <c r="E3" s="75"/>
      <c r="F3" s="156"/>
      <c r="G3" s="75"/>
      <c r="H3" s="75"/>
      <c r="I3" s="166"/>
      <c r="N3" s="42"/>
      <c r="O3" s="82"/>
      <c r="P3" s="82"/>
      <c r="Q3" s="82"/>
      <c r="R3" s="82"/>
      <c r="S3" s="82"/>
      <c r="T3" s="82"/>
      <c r="U3" s="82"/>
      <c r="V3" s="82"/>
      <c r="W3" s="82"/>
      <c r="X3" s="82"/>
    </row>
    <row r="4" spans="1:24" ht="12.75" x14ac:dyDescent="0.2">
      <c r="A4" s="105"/>
      <c r="B4" s="105"/>
      <c r="C4" s="157"/>
      <c r="D4" s="158"/>
      <c r="E4" s="159"/>
      <c r="F4" s="160"/>
      <c r="G4" s="159" t="s">
        <v>170</v>
      </c>
      <c r="H4" s="159"/>
      <c r="I4" s="309" t="s">
        <v>198</v>
      </c>
      <c r="L4" s="40"/>
      <c r="N4" s="42"/>
      <c r="O4" s="82"/>
      <c r="P4" s="82"/>
      <c r="Q4" s="82"/>
      <c r="R4" s="82"/>
      <c r="S4" s="82"/>
      <c r="T4" s="82"/>
      <c r="U4" s="82"/>
      <c r="V4" s="82"/>
      <c r="W4" s="82"/>
      <c r="X4" s="82"/>
    </row>
    <row r="5" spans="1:24" ht="12.75" x14ac:dyDescent="0.2">
      <c r="A5" s="105"/>
      <c r="B5" s="105"/>
      <c r="C5" s="159"/>
      <c r="D5" s="159"/>
      <c r="E5" s="159"/>
      <c r="F5" s="161"/>
      <c r="G5" s="159"/>
      <c r="H5" s="159"/>
      <c r="I5" s="309"/>
      <c r="L5" s="40"/>
      <c r="N5" s="4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4" ht="51" customHeight="1" x14ac:dyDescent="0.35">
      <c r="A6" s="105"/>
      <c r="B6" s="105"/>
      <c r="C6" s="162" t="s">
        <v>214</v>
      </c>
      <c r="D6" s="163" t="s">
        <v>151</v>
      </c>
      <c r="E6" s="162" t="s">
        <v>179</v>
      </c>
      <c r="F6" s="160"/>
      <c r="G6" s="164" t="s">
        <v>169</v>
      </c>
      <c r="H6" s="162" t="s">
        <v>180</v>
      </c>
      <c r="I6" s="309"/>
      <c r="L6" s="52" t="s">
        <v>149</v>
      </c>
      <c r="N6" s="83"/>
      <c r="O6" s="84"/>
      <c r="P6" s="84"/>
      <c r="Q6" s="82"/>
      <c r="R6" s="82"/>
      <c r="S6" s="82"/>
      <c r="T6" s="82"/>
      <c r="U6" s="82"/>
      <c r="V6" s="82"/>
      <c r="W6" s="82"/>
      <c r="X6" s="82"/>
    </row>
    <row r="7" spans="1:24" ht="12.75" x14ac:dyDescent="0.2">
      <c r="A7" s="165" t="s">
        <v>116</v>
      </c>
      <c r="B7" s="105"/>
      <c r="C7" s="75"/>
      <c r="D7" s="156"/>
      <c r="E7" s="75"/>
      <c r="F7" s="156"/>
      <c r="G7" s="75"/>
      <c r="H7" s="75"/>
      <c r="I7" s="166"/>
      <c r="N7" s="42"/>
      <c r="O7" s="82"/>
      <c r="P7" s="82"/>
      <c r="Q7" s="82"/>
      <c r="R7" s="82"/>
      <c r="S7" s="82"/>
      <c r="T7" s="82"/>
      <c r="U7" s="82"/>
      <c r="V7" s="82"/>
      <c r="W7" s="82"/>
      <c r="X7" s="82"/>
    </row>
    <row r="8" spans="1:24" ht="12.75" x14ac:dyDescent="0.2">
      <c r="A8" s="105">
        <v>5711</v>
      </c>
      <c r="B8" s="105" t="s">
        <v>134</v>
      </c>
      <c r="C8" s="167">
        <v>337001567</v>
      </c>
      <c r="D8" s="168">
        <v>237864270</v>
      </c>
      <c r="E8" s="167">
        <v>368057814</v>
      </c>
      <c r="F8" s="168">
        <v>235125038.58000001</v>
      </c>
      <c r="G8" s="169">
        <v>336339585.80000001</v>
      </c>
      <c r="H8" s="167">
        <v>400432518</v>
      </c>
      <c r="I8" s="170">
        <f>+H8-E8</f>
        <v>32374704</v>
      </c>
      <c r="L8" s="41">
        <v>231921364</v>
      </c>
      <c r="N8" s="42"/>
      <c r="O8" s="42"/>
      <c r="P8" s="82"/>
      <c r="Q8" s="82"/>
      <c r="R8" s="82"/>
      <c r="S8" s="82"/>
      <c r="T8" s="82"/>
      <c r="U8" s="82"/>
      <c r="V8" s="82"/>
      <c r="W8" s="82"/>
      <c r="X8" s="82"/>
    </row>
    <row r="9" spans="1:24" ht="12.75" x14ac:dyDescent="0.2">
      <c r="A9" s="105">
        <v>5712</v>
      </c>
      <c r="B9" s="105" t="s">
        <v>135</v>
      </c>
      <c r="C9" s="75">
        <v>2975673</v>
      </c>
      <c r="D9" s="156">
        <v>1000000</v>
      </c>
      <c r="E9" s="75">
        <v>2500000</v>
      </c>
      <c r="F9" s="156">
        <v>988993.15</v>
      </c>
      <c r="G9" s="171">
        <v>2266097.6800000002</v>
      </c>
      <c r="H9" s="75">
        <v>2500000</v>
      </c>
      <c r="I9" s="166">
        <f>+H9-E9</f>
        <v>0</v>
      </c>
      <c r="L9" s="39">
        <v>1000000</v>
      </c>
      <c r="N9" s="42"/>
      <c r="O9" s="42"/>
      <c r="P9" s="82"/>
      <c r="Q9" s="82"/>
      <c r="R9" s="82"/>
      <c r="S9" s="82"/>
      <c r="T9" s="82"/>
      <c r="U9" s="82"/>
      <c r="V9" s="82"/>
      <c r="W9" s="82"/>
      <c r="X9" s="82"/>
    </row>
    <row r="10" spans="1:24" ht="12.75" x14ac:dyDescent="0.2">
      <c r="A10" s="105">
        <v>5719</v>
      </c>
      <c r="B10" s="105" t="s">
        <v>129</v>
      </c>
      <c r="C10" s="75">
        <v>1700640</v>
      </c>
      <c r="D10" s="156">
        <v>1300000</v>
      </c>
      <c r="E10" s="75">
        <v>2000000</v>
      </c>
      <c r="F10" s="156">
        <v>1358398.11</v>
      </c>
      <c r="G10" s="171">
        <v>1500573.93</v>
      </c>
      <c r="H10" s="75">
        <v>2000000</v>
      </c>
      <c r="I10" s="166">
        <f t="shared" ref="I10:I22" si="0">+H10-E10</f>
        <v>0</v>
      </c>
      <c r="J10" s="69"/>
      <c r="L10" s="39">
        <v>1300000</v>
      </c>
      <c r="N10" s="42"/>
      <c r="O10" s="42"/>
      <c r="P10" s="82"/>
      <c r="Q10" s="82"/>
      <c r="R10" s="82"/>
      <c r="S10" s="82"/>
      <c r="T10" s="82"/>
      <c r="U10" s="82"/>
      <c r="V10" s="82"/>
      <c r="W10" s="82"/>
      <c r="X10" s="82"/>
    </row>
    <row r="11" spans="1:24" ht="12.75" x14ac:dyDescent="0.2">
      <c r="A11" s="105">
        <v>5739</v>
      </c>
      <c r="B11" s="105" t="s">
        <v>136</v>
      </c>
      <c r="C11" s="75">
        <v>6123778</v>
      </c>
      <c r="D11" s="156">
        <v>4159645</v>
      </c>
      <c r="E11" s="75">
        <v>6723070</v>
      </c>
      <c r="F11" s="156">
        <v>5579887.5099999998</v>
      </c>
      <c r="G11" s="171">
        <v>5972063.79</v>
      </c>
      <c r="H11" s="75">
        <v>6723070</v>
      </c>
      <c r="I11" s="166">
        <f t="shared" si="0"/>
        <v>0</v>
      </c>
      <c r="J11" s="69"/>
      <c r="L11" s="39">
        <v>4185645</v>
      </c>
      <c r="N11" s="42"/>
      <c r="O11" s="42"/>
      <c r="P11" s="82"/>
      <c r="Q11" s="82"/>
      <c r="R11" s="82"/>
      <c r="S11" s="82"/>
      <c r="T11" s="82"/>
      <c r="U11" s="82"/>
      <c r="V11" s="82"/>
      <c r="W11" s="82"/>
      <c r="X11" s="82"/>
    </row>
    <row r="12" spans="1:24" ht="12.75" x14ac:dyDescent="0.2">
      <c r="A12" s="105">
        <v>5742</v>
      </c>
      <c r="B12" s="105" t="s">
        <v>130</v>
      </c>
      <c r="C12" s="75">
        <v>1641829</v>
      </c>
      <c r="D12" s="156">
        <v>250000</v>
      </c>
      <c r="E12" s="75">
        <v>1595000</v>
      </c>
      <c r="F12" s="156">
        <v>331961.7</v>
      </c>
      <c r="G12" s="171">
        <v>1268441.72</v>
      </c>
      <c r="H12" s="75">
        <v>4000000</v>
      </c>
      <c r="I12" s="166">
        <f t="shared" si="0"/>
        <v>2405000</v>
      </c>
      <c r="J12" s="69"/>
      <c r="L12" s="39">
        <v>250000</v>
      </c>
      <c r="N12" s="42"/>
      <c r="O12" s="42"/>
      <c r="P12" s="82"/>
      <c r="Q12" s="82"/>
      <c r="R12" s="82"/>
      <c r="S12" s="82"/>
      <c r="T12" s="82"/>
      <c r="U12" s="82"/>
      <c r="V12" s="82"/>
      <c r="W12" s="82"/>
      <c r="X12" s="82"/>
    </row>
    <row r="13" spans="1:24" ht="12.75" x14ac:dyDescent="0.2">
      <c r="A13" s="105">
        <v>5743</v>
      </c>
      <c r="B13" s="105" t="s">
        <v>137</v>
      </c>
      <c r="C13" s="75">
        <v>945921</v>
      </c>
      <c r="D13" s="156">
        <v>349384</v>
      </c>
      <c r="E13" s="75">
        <v>864884</v>
      </c>
      <c r="F13" s="156">
        <v>298373.25</v>
      </c>
      <c r="G13" s="171">
        <v>845691.95</v>
      </c>
      <c r="H13" s="75">
        <v>900000</v>
      </c>
      <c r="I13" s="166">
        <f t="shared" si="0"/>
        <v>35116</v>
      </c>
      <c r="J13" s="69"/>
      <c r="L13" s="39">
        <v>349384</v>
      </c>
      <c r="N13" s="42"/>
      <c r="O13" s="42"/>
      <c r="P13" s="82"/>
      <c r="Q13" s="82"/>
      <c r="R13" s="82"/>
      <c r="S13" s="82"/>
      <c r="T13" s="82"/>
      <c r="U13" s="82"/>
      <c r="V13" s="82"/>
      <c r="W13" s="82"/>
      <c r="X13" s="82"/>
    </row>
    <row r="14" spans="1:24" ht="12.75" x14ac:dyDescent="0.2">
      <c r="A14" s="105">
        <v>5744</v>
      </c>
      <c r="B14" s="105" t="s">
        <v>138</v>
      </c>
      <c r="C14" s="75">
        <v>1206</v>
      </c>
      <c r="D14" s="156">
        <v>0</v>
      </c>
      <c r="E14" s="75">
        <v>0</v>
      </c>
      <c r="F14" s="156">
        <v>122590.31</v>
      </c>
      <c r="G14" s="171">
        <v>1175.8399999999999</v>
      </c>
      <c r="H14" s="75">
        <v>0</v>
      </c>
      <c r="I14" s="166">
        <f t="shared" si="0"/>
        <v>0</v>
      </c>
      <c r="J14" s="69"/>
      <c r="L14" s="39">
        <v>0</v>
      </c>
      <c r="N14" s="42"/>
      <c r="O14" s="42"/>
      <c r="P14" s="82"/>
      <c r="Q14" s="82"/>
      <c r="R14" s="82"/>
      <c r="S14" s="82"/>
      <c r="T14" s="82"/>
      <c r="U14" s="82"/>
      <c r="V14" s="82"/>
      <c r="W14" s="82"/>
      <c r="X14" s="82"/>
    </row>
    <row r="15" spans="1:24" ht="12.75" x14ac:dyDescent="0.2">
      <c r="A15" s="105">
        <v>5745</v>
      </c>
      <c r="B15" s="105" t="s">
        <v>139</v>
      </c>
      <c r="C15" s="75">
        <v>1238</v>
      </c>
      <c r="D15" s="156">
        <v>0</v>
      </c>
      <c r="E15" s="75">
        <v>0</v>
      </c>
      <c r="F15" s="156">
        <v>254678.69</v>
      </c>
      <c r="G15" s="171">
        <v>1237.8699999999999</v>
      </c>
      <c r="H15" s="75">
        <v>0</v>
      </c>
      <c r="I15" s="166">
        <f t="shared" si="0"/>
        <v>0</v>
      </c>
      <c r="J15" s="69"/>
      <c r="L15" s="39">
        <v>0</v>
      </c>
      <c r="O15" s="59"/>
    </row>
    <row r="16" spans="1:24" ht="12.75" x14ac:dyDescent="0.2">
      <c r="A16" s="105">
        <v>5749</v>
      </c>
      <c r="B16" s="105" t="s">
        <v>207</v>
      </c>
      <c r="C16" s="75">
        <v>1540555</v>
      </c>
      <c r="D16" s="156">
        <v>477258</v>
      </c>
      <c r="E16" s="75">
        <v>2563304</v>
      </c>
      <c r="F16" s="156">
        <v>409542.72</v>
      </c>
      <c r="G16" s="171">
        <v>1154549.1100000001</v>
      </c>
      <c r="H16" s="75">
        <v>1000000</v>
      </c>
      <c r="I16" s="166">
        <f t="shared" si="0"/>
        <v>-1563304</v>
      </c>
      <c r="J16" s="69"/>
      <c r="L16" s="39">
        <v>477258</v>
      </c>
      <c r="O16" s="59"/>
    </row>
    <row r="17" spans="1:15" ht="12.75" x14ac:dyDescent="0.2">
      <c r="A17" s="105">
        <v>5751</v>
      </c>
      <c r="B17" s="105" t="s">
        <v>110</v>
      </c>
      <c r="C17" s="75">
        <v>0</v>
      </c>
      <c r="D17" s="156"/>
      <c r="E17" s="75">
        <v>0</v>
      </c>
      <c r="F17" s="156"/>
      <c r="G17" s="171">
        <v>0</v>
      </c>
      <c r="H17" s="75">
        <v>0</v>
      </c>
      <c r="I17" s="166">
        <f t="shared" si="0"/>
        <v>0</v>
      </c>
      <c r="J17" s="69"/>
      <c r="L17" s="59"/>
      <c r="O17" s="59"/>
    </row>
    <row r="18" spans="1:15" ht="12.75" x14ac:dyDescent="0.2">
      <c r="A18" s="105">
        <v>5752</v>
      </c>
      <c r="B18" s="105" t="s">
        <v>140</v>
      </c>
      <c r="C18" s="75">
        <v>841529</v>
      </c>
      <c r="D18" s="156">
        <v>664500</v>
      </c>
      <c r="E18" s="75">
        <v>1086693</v>
      </c>
      <c r="F18" s="156">
        <v>835287.95</v>
      </c>
      <c r="G18" s="171">
        <v>828575.93</v>
      </c>
      <c r="H18" s="75">
        <v>875000</v>
      </c>
      <c r="I18" s="166">
        <f t="shared" si="0"/>
        <v>-211693</v>
      </c>
      <c r="J18" s="69"/>
      <c r="L18" s="39">
        <v>664500</v>
      </c>
      <c r="O18" s="59"/>
    </row>
    <row r="19" spans="1:15" ht="12.75" x14ac:dyDescent="0.2">
      <c r="A19" s="105">
        <v>5753</v>
      </c>
      <c r="B19" s="105" t="s">
        <v>208</v>
      </c>
      <c r="C19" s="75">
        <v>125145</v>
      </c>
      <c r="D19" s="156">
        <v>136700</v>
      </c>
      <c r="E19" s="75">
        <v>111600</v>
      </c>
      <c r="F19" s="156">
        <v>108035</v>
      </c>
      <c r="G19" s="171">
        <v>123945</v>
      </c>
      <c r="H19" s="75">
        <v>130000</v>
      </c>
      <c r="I19" s="166">
        <f t="shared" si="0"/>
        <v>18400</v>
      </c>
      <c r="J19" s="69"/>
      <c r="L19" s="39">
        <v>136700</v>
      </c>
      <c r="O19" s="59"/>
    </row>
    <row r="20" spans="1:15" ht="12.75" x14ac:dyDescent="0.2">
      <c r="A20" s="105">
        <v>5755</v>
      </c>
      <c r="B20" s="105" t="s">
        <v>141</v>
      </c>
      <c r="C20" s="75">
        <v>0</v>
      </c>
      <c r="D20" s="156">
        <v>0</v>
      </c>
      <c r="E20" s="75">
        <v>0</v>
      </c>
      <c r="F20" s="156">
        <v>384</v>
      </c>
      <c r="G20" s="171">
        <v>0</v>
      </c>
      <c r="H20" s="75">
        <v>0</v>
      </c>
      <c r="I20" s="166">
        <f t="shared" si="0"/>
        <v>0</v>
      </c>
      <c r="J20" s="69"/>
      <c r="L20" s="39">
        <v>0</v>
      </c>
      <c r="O20" s="59"/>
    </row>
    <row r="21" spans="1:15" ht="12.75" x14ac:dyDescent="0.2">
      <c r="A21" s="105">
        <v>5759</v>
      </c>
      <c r="B21" s="105" t="s">
        <v>142</v>
      </c>
      <c r="C21" s="75">
        <v>0</v>
      </c>
      <c r="D21" s="156">
        <v>0</v>
      </c>
      <c r="E21" s="75">
        <v>0</v>
      </c>
      <c r="F21" s="156">
        <v>16117.8</v>
      </c>
      <c r="G21" s="171">
        <v>0</v>
      </c>
      <c r="H21" s="75">
        <v>0</v>
      </c>
      <c r="I21" s="166">
        <f t="shared" si="0"/>
        <v>0</v>
      </c>
      <c r="J21" s="69"/>
      <c r="L21" s="39">
        <v>0</v>
      </c>
      <c r="O21" s="59"/>
    </row>
    <row r="22" spans="1:15" ht="12.75" x14ac:dyDescent="0.2">
      <c r="A22" s="105">
        <v>5769</v>
      </c>
      <c r="B22" s="105" t="s">
        <v>209</v>
      </c>
      <c r="C22" s="75">
        <v>536798</v>
      </c>
      <c r="D22" s="156">
        <v>394628</v>
      </c>
      <c r="E22" s="75">
        <v>505000</v>
      </c>
      <c r="F22" s="156">
        <v>424449.18</v>
      </c>
      <c r="G22" s="171">
        <v>492451.43</v>
      </c>
      <c r="H22" s="75">
        <v>425000</v>
      </c>
      <c r="I22" s="166">
        <f t="shared" si="0"/>
        <v>-80000</v>
      </c>
      <c r="J22" s="69"/>
      <c r="L22" s="42">
        <v>394628</v>
      </c>
      <c r="O22" s="59"/>
    </row>
    <row r="23" spans="1:15" ht="12.75" x14ac:dyDescent="0.2">
      <c r="A23" s="105"/>
      <c r="B23" s="105"/>
      <c r="C23" s="75"/>
      <c r="D23" s="75"/>
      <c r="E23" s="75"/>
      <c r="F23" s="75"/>
      <c r="G23" s="75"/>
      <c r="H23" s="75"/>
      <c r="I23" s="166"/>
      <c r="J23" s="69"/>
      <c r="L23" s="42"/>
    </row>
    <row r="24" spans="1:15" ht="12.75" x14ac:dyDescent="0.2">
      <c r="A24" s="105"/>
      <c r="B24" s="165" t="s">
        <v>114</v>
      </c>
      <c r="C24" s="172">
        <f>SUM(C8:C23)</f>
        <v>353435879</v>
      </c>
      <c r="D24" s="172">
        <f t="shared" ref="D24:I24" si="1">SUM(D8:D23)</f>
        <v>246596385</v>
      </c>
      <c r="E24" s="172">
        <f t="shared" ref="E24" si="2">SUM(E8:E23)</f>
        <v>386007365</v>
      </c>
      <c r="F24" s="172">
        <f t="shared" si="1"/>
        <v>245853737.95000002</v>
      </c>
      <c r="G24" s="172">
        <f t="shared" si="1"/>
        <v>350794390.05000007</v>
      </c>
      <c r="H24" s="172">
        <f t="shared" si="1"/>
        <v>418985588</v>
      </c>
      <c r="I24" s="173">
        <f t="shared" si="1"/>
        <v>32978223</v>
      </c>
      <c r="J24" s="69"/>
      <c r="L24" s="43">
        <f>SUM(L8:L23)</f>
        <v>240679479</v>
      </c>
    </row>
    <row r="25" spans="1:15" s="176" customFormat="1" ht="12.75" x14ac:dyDescent="0.2">
      <c r="A25" s="105"/>
      <c r="B25" s="105"/>
      <c r="C25" s="75"/>
      <c r="D25" s="75"/>
      <c r="E25" s="75"/>
      <c r="F25" s="75"/>
      <c r="G25" s="75"/>
      <c r="H25" s="75"/>
      <c r="I25" s="166"/>
      <c r="J25" s="175"/>
      <c r="L25" s="177"/>
      <c r="N25" s="178"/>
    </row>
    <row r="26" spans="1:15" ht="12.75" x14ac:dyDescent="0.2">
      <c r="A26" s="165" t="s">
        <v>117</v>
      </c>
      <c r="B26" s="105"/>
      <c r="C26" s="75"/>
      <c r="D26" s="156"/>
      <c r="E26" s="75"/>
      <c r="F26" s="156"/>
      <c r="G26" s="75"/>
      <c r="H26" s="75"/>
      <c r="I26" s="166"/>
      <c r="J26" s="69"/>
      <c r="L26" s="42"/>
    </row>
    <row r="27" spans="1:15" ht="12.75" x14ac:dyDescent="0.2">
      <c r="A27" s="105">
        <v>5811</v>
      </c>
      <c r="B27" s="105" t="s">
        <v>147</v>
      </c>
      <c r="C27" s="75">
        <v>19706111</v>
      </c>
      <c r="D27" s="156">
        <v>11973552</v>
      </c>
      <c r="E27" s="75">
        <v>10026700</v>
      </c>
      <c r="F27" s="156">
        <v>12633210</v>
      </c>
      <c r="G27" s="75">
        <v>14325430</v>
      </c>
      <c r="H27" s="75">
        <v>22007130</v>
      </c>
      <c r="I27" s="166">
        <f>+H27-E27</f>
        <v>11980430</v>
      </c>
      <c r="J27" s="69"/>
      <c r="L27" s="39">
        <v>12818949</v>
      </c>
    </row>
    <row r="28" spans="1:15" ht="12.75" x14ac:dyDescent="0.2">
      <c r="A28" s="105">
        <v>5812</v>
      </c>
      <c r="B28" s="105" t="s">
        <v>210</v>
      </c>
      <c r="C28" s="75">
        <v>49554846</v>
      </c>
      <c r="D28" s="156">
        <v>95040597</v>
      </c>
      <c r="E28" s="75">
        <v>31426950</v>
      </c>
      <c r="F28" s="156">
        <v>65875880.670000002</v>
      </c>
      <c r="G28" s="75">
        <v>38016800</v>
      </c>
      <c r="H28" s="75">
        <v>19028360</v>
      </c>
      <c r="I28" s="166">
        <f t="shared" ref="I28:I31" si="3">+H28-E28</f>
        <v>-12398590</v>
      </c>
      <c r="J28" s="69"/>
      <c r="L28" s="39">
        <v>90909379</v>
      </c>
    </row>
    <row r="29" spans="1:15" ht="12.75" hidden="1" x14ac:dyDescent="0.2">
      <c r="A29" s="105">
        <v>5819</v>
      </c>
      <c r="B29" s="105" t="s">
        <v>148</v>
      </c>
      <c r="C29" s="75"/>
      <c r="D29" s="156">
        <v>0</v>
      </c>
      <c r="E29" s="75">
        <v>0</v>
      </c>
      <c r="F29" s="156">
        <v>414.96</v>
      </c>
      <c r="G29" s="75"/>
      <c r="H29" s="75">
        <v>0</v>
      </c>
      <c r="I29" s="166">
        <f t="shared" si="3"/>
        <v>0</v>
      </c>
      <c r="J29" s="69" t="e">
        <f t="shared" ref="J29" si="4">+I29/I$29</f>
        <v>#DIV/0!</v>
      </c>
      <c r="L29" s="39">
        <v>0</v>
      </c>
    </row>
    <row r="30" spans="1:15" ht="12.75" x14ac:dyDescent="0.2">
      <c r="A30" s="105">
        <v>5829</v>
      </c>
      <c r="B30" s="105" t="s">
        <v>211</v>
      </c>
      <c r="C30" s="75">
        <v>118451</v>
      </c>
      <c r="D30" s="156">
        <v>0</v>
      </c>
      <c r="E30" s="75">
        <v>111000</v>
      </c>
      <c r="F30" s="156">
        <v>59394.02</v>
      </c>
      <c r="G30" s="75">
        <v>115700.25</v>
      </c>
      <c r="H30" s="75">
        <v>111000</v>
      </c>
      <c r="I30" s="166">
        <f t="shared" si="3"/>
        <v>0</v>
      </c>
      <c r="J30" s="69"/>
      <c r="L30" s="39">
        <v>0</v>
      </c>
    </row>
    <row r="31" spans="1:15" ht="12.75" x14ac:dyDescent="0.2">
      <c r="A31" s="105">
        <v>5831</v>
      </c>
      <c r="B31" s="105" t="s">
        <v>113</v>
      </c>
      <c r="C31" s="75">
        <v>20485902</v>
      </c>
      <c r="D31" s="156">
        <v>19000007</v>
      </c>
      <c r="E31" s="75">
        <v>23650842</v>
      </c>
      <c r="F31" s="156">
        <v>15301468.369999999</v>
      </c>
      <c r="G31" s="75">
        <v>16182320.33</v>
      </c>
      <c r="H31" s="75">
        <v>23650842</v>
      </c>
      <c r="I31" s="166">
        <f t="shared" si="3"/>
        <v>0</v>
      </c>
      <c r="J31" s="69"/>
      <c r="L31" s="39">
        <v>19000007</v>
      </c>
    </row>
    <row r="32" spans="1:15" ht="12.75" x14ac:dyDescent="0.2">
      <c r="A32" s="105"/>
      <c r="B32" s="105"/>
      <c r="C32" s="75"/>
      <c r="D32" s="156"/>
      <c r="E32" s="75"/>
      <c r="F32" s="156"/>
      <c r="G32" s="75"/>
      <c r="H32" s="75"/>
      <c r="I32" s="166"/>
      <c r="J32" s="69"/>
    </row>
    <row r="33" spans="1:12" ht="12.75" x14ac:dyDescent="0.2">
      <c r="A33" s="105"/>
      <c r="B33" s="165" t="s">
        <v>115</v>
      </c>
      <c r="C33" s="172">
        <f>SUM(C27:C32)</f>
        <v>89865310</v>
      </c>
      <c r="D33" s="172">
        <f t="shared" ref="D33:I33" si="5">SUM(D27:D32)</f>
        <v>126014156</v>
      </c>
      <c r="E33" s="172">
        <f t="shared" ref="E33" si="6">SUM(E27:E32)</f>
        <v>65215492</v>
      </c>
      <c r="F33" s="172">
        <f t="shared" si="5"/>
        <v>93870368.019999996</v>
      </c>
      <c r="G33" s="172">
        <f t="shared" si="5"/>
        <v>68640250.579999998</v>
      </c>
      <c r="H33" s="172">
        <f t="shared" si="5"/>
        <v>64797332</v>
      </c>
      <c r="I33" s="173">
        <f t="shared" si="5"/>
        <v>-418160</v>
      </c>
      <c r="J33" s="69"/>
      <c r="L33" s="43">
        <f>SUM(L27:L32)</f>
        <v>122728335</v>
      </c>
    </row>
    <row r="34" spans="1:12" ht="12.75" x14ac:dyDescent="0.2">
      <c r="A34" s="105"/>
      <c r="B34" s="105"/>
      <c r="C34" s="75"/>
      <c r="D34" s="75"/>
      <c r="E34" s="75"/>
      <c r="F34" s="75"/>
      <c r="G34" s="75"/>
      <c r="H34" s="75"/>
      <c r="I34" s="166"/>
      <c r="J34" s="69"/>
    </row>
    <row r="35" spans="1:12" ht="12.75" x14ac:dyDescent="0.2">
      <c r="A35" s="165" t="s">
        <v>153</v>
      </c>
      <c r="B35" s="105"/>
      <c r="C35" s="75"/>
      <c r="D35" s="156"/>
      <c r="E35" s="75"/>
      <c r="F35" s="156"/>
      <c r="G35" s="75"/>
      <c r="H35" s="75"/>
      <c r="I35" s="166"/>
      <c r="J35" s="69"/>
    </row>
    <row r="36" spans="1:12" ht="12.75" x14ac:dyDescent="0.2">
      <c r="A36" s="105">
        <v>5929</v>
      </c>
      <c r="B36" s="105" t="s">
        <v>212</v>
      </c>
      <c r="C36" s="75">
        <v>247494</v>
      </c>
      <c r="D36" s="156">
        <v>140700</v>
      </c>
      <c r="E36" s="75">
        <v>223900</v>
      </c>
      <c r="F36" s="156">
        <v>242506.84</v>
      </c>
      <c r="G36" s="75">
        <v>198353.56</v>
      </c>
      <c r="H36" s="75">
        <v>224000</v>
      </c>
      <c r="I36" s="166">
        <f>+H36-E36</f>
        <v>100</v>
      </c>
      <c r="J36" s="69"/>
      <c r="L36" s="39">
        <v>140700</v>
      </c>
    </row>
    <row r="37" spans="1:12" ht="12.75" x14ac:dyDescent="0.2">
      <c r="A37" s="105">
        <v>5931</v>
      </c>
      <c r="B37" s="105" t="s">
        <v>146</v>
      </c>
      <c r="C37" s="75">
        <v>3359690</v>
      </c>
      <c r="D37" s="156">
        <v>100000</v>
      </c>
      <c r="E37" s="75">
        <v>2700000</v>
      </c>
      <c r="F37" s="156">
        <v>685352.25</v>
      </c>
      <c r="G37" s="75">
        <v>3203795.09</v>
      </c>
      <c r="H37" s="75">
        <v>2700000</v>
      </c>
      <c r="I37" s="166">
        <f t="shared" ref="I37:I40" si="7">+H37-E37</f>
        <v>0</v>
      </c>
      <c r="J37" s="69"/>
      <c r="L37" s="39">
        <v>100000</v>
      </c>
    </row>
    <row r="38" spans="1:12" ht="12.75" hidden="1" x14ac:dyDescent="0.2">
      <c r="A38" s="105">
        <v>5939</v>
      </c>
      <c r="B38" s="105" t="s">
        <v>145</v>
      </c>
      <c r="C38" s="75"/>
      <c r="D38" s="156">
        <v>0</v>
      </c>
      <c r="E38" s="75">
        <v>0</v>
      </c>
      <c r="F38" s="156">
        <v>620.91999999999996</v>
      </c>
      <c r="G38" s="75">
        <v>0</v>
      </c>
      <c r="H38" s="75">
        <v>0</v>
      </c>
      <c r="I38" s="166">
        <f t="shared" si="7"/>
        <v>0</v>
      </c>
      <c r="J38" s="69"/>
      <c r="L38" s="39">
        <v>0</v>
      </c>
    </row>
    <row r="39" spans="1:12" ht="12.75" x14ac:dyDescent="0.2">
      <c r="A39" s="105">
        <v>5941</v>
      </c>
      <c r="B39" s="105" t="s">
        <v>144</v>
      </c>
      <c r="C39" s="75">
        <v>3091571</v>
      </c>
      <c r="D39" s="156">
        <v>750000</v>
      </c>
      <c r="E39" s="75">
        <v>2500000</v>
      </c>
      <c r="F39" s="156">
        <v>2191640</v>
      </c>
      <c r="G39" s="75">
        <v>2902591.93</v>
      </c>
      <c r="H39" s="75">
        <v>3000000</v>
      </c>
      <c r="I39" s="166">
        <f t="shared" si="7"/>
        <v>500000</v>
      </c>
      <c r="L39" s="39">
        <v>750000</v>
      </c>
    </row>
    <row r="40" spans="1:12" ht="12.75" x14ac:dyDescent="0.2">
      <c r="A40" s="105">
        <v>5949</v>
      </c>
      <c r="B40" s="105" t="s">
        <v>213</v>
      </c>
      <c r="C40" s="75">
        <v>311525</v>
      </c>
      <c r="D40" s="156">
        <v>255000</v>
      </c>
      <c r="E40" s="75">
        <v>275000</v>
      </c>
      <c r="F40" s="156">
        <v>220157.97</v>
      </c>
      <c r="G40" s="75">
        <v>302297.90000000002</v>
      </c>
      <c r="H40" s="75">
        <v>275000</v>
      </c>
      <c r="I40" s="166">
        <f t="shared" si="7"/>
        <v>0</v>
      </c>
      <c r="L40" s="39">
        <v>255000</v>
      </c>
    </row>
    <row r="41" spans="1:12" ht="12.75" x14ac:dyDescent="0.2">
      <c r="A41" s="105"/>
      <c r="B41" s="105"/>
      <c r="C41" s="75"/>
      <c r="D41" s="75"/>
      <c r="E41" s="75"/>
      <c r="F41" s="75"/>
      <c r="G41" s="75"/>
      <c r="H41" s="75"/>
      <c r="I41" s="75"/>
    </row>
    <row r="42" spans="1:12" ht="12.75" x14ac:dyDescent="0.2">
      <c r="A42" s="105"/>
      <c r="B42" s="165" t="s">
        <v>121</v>
      </c>
      <c r="C42" s="172">
        <f>SUM(C36:C41)</f>
        <v>7010280</v>
      </c>
      <c r="D42" s="172">
        <f t="shared" ref="D42:I42" si="8">SUM(D36:D41)</f>
        <v>1245700</v>
      </c>
      <c r="E42" s="172">
        <f t="shared" ref="E42" si="9">SUM(E36:E41)</f>
        <v>5698900</v>
      </c>
      <c r="F42" s="172">
        <f t="shared" si="8"/>
        <v>3340277.98</v>
      </c>
      <c r="G42" s="172">
        <f t="shared" si="8"/>
        <v>6607038.4800000004</v>
      </c>
      <c r="H42" s="172">
        <f t="shared" si="8"/>
        <v>6199000</v>
      </c>
      <c r="I42" s="172">
        <f t="shared" si="8"/>
        <v>500100</v>
      </c>
      <c r="L42" s="43">
        <f>SUM(L36:L41)</f>
        <v>1245700</v>
      </c>
    </row>
    <row r="43" spans="1:12" ht="12.75" x14ac:dyDescent="0.2">
      <c r="A43" s="105"/>
      <c r="B43" s="105"/>
      <c r="C43" s="75"/>
      <c r="D43" s="75"/>
      <c r="E43" s="75"/>
      <c r="F43" s="75"/>
      <c r="G43" s="75"/>
      <c r="H43" s="75"/>
      <c r="I43" s="75"/>
    </row>
    <row r="44" spans="1:12" ht="12.75" x14ac:dyDescent="0.2">
      <c r="A44" s="165" t="s">
        <v>43</v>
      </c>
      <c r="B44" s="105"/>
      <c r="C44" s="75"/>
      <c r="D44" s="156"/>
      <c r="E44" s="75"/>
      <c r="F44" s="156"/>
      <c r="G44" s="75"/>
      <c r="H44" s="75"/>
      <c r="I44" s="166"/>
    </row>
    <row r="45" spans="1:12" ht="12.75" x14ac:dyDescent="0.2">
      <c r="A45" s="105">
        <v>7912</v>
      </c>
      <c r="B45" s="105" t="s">
        <v>143</v>
      </c>
      <c r="C45" s="75">
        <v>56170</v>
      </c>
      <c r="D45" s="156">
        <v>0</v>
      </c>
      <c r="E45" s="75">
        <v>0</v>
      </c>
      <c r="F45" s="156">
        <v>89540.44</v>
      </c>
      <c r="G45" s="75">
        <v>0</v>
      </c>
      <c r="H45" s="75">
        <v>0</v>
      </c>
      <c r="I45" s="166">
        <f>+H45-E45</f>
        <v>0</v>
      </c>
      <c r="L45" s="39">
        <v>0</v>
      </c>
    </row>
    <row r="46" spans="1:12" ht="12.75" x14ac:dyDescent="0.2">
      <c r="A46" s="105">
        <v>7913</v>
      </c>
      <c r="B46" s="105" t="s">
        <v>162</v>
      </c>
      <c r="C46" s="75">
        <v>0</v>
      </c>
      <c r="D46" s="156"/>
      <c r="E46" s="75">
        <v>0</v>
      </c>
      <c r="F46" s="156"/>
      <c r="G46" s="75">
        <v>0</v>
      </c>
      <c r="H46" s="75">
        <v>0</v>
      </c>
      <c r="I46" s="166">
        <f>+H46-E46</f>
        <v>0</v>
      </c>
      <c r="L46" s="59"/>
    </row>
    <row r="47" spans="1:12" ht="12.75" x14ac:dyDescent="0.2">
      <c r="A47" s="105">
        <v>7915</v>
      </c>
      <c r="B47" s="105" t="s">
        <v>168</v>
      </c>
      <c r="C47" s="75">
        <v>0</v>
      </c>
      <c r="D47" s="156"/>
      <c r="E47" s="75">
        <v>0</v>
      </c>
      <c r="F47" s="156"/>
      <c r="G47" s="75">
        <v>0</v>
      </c>
      <c r="H47" s="75">
        <v>0</v>
      </c>
      <c r="I47" s="166">
        <f>+H47-E47</f>
        <v>0</v>
      </c>
      <c r="L47" s="59"/>
    </row>
    <row r="48" spans="1:12" ht="12.75" x14ac:dyDescent="0.2">
      <c r="A48" s="105"/>
      <c r="B48" s="105"/>
      <c r="C48" s="75"/>
      <c r="D48" s="156"/>
      <c r="E48" s="75"/>
      <c r="F48" s="156"/>
      <c r="G48" s="75"/>
      <c r="H48" s="75"/>
      <c r="I48" s="166"/>
      <c r="L48" s="59"/>
    </row>
    <row r="49" spans="1:12" ht="12.75" x14ac:dyDescent="0.2">
      <c r="A49" s="105"/>
      <c r="B49" s="165" t="s">
        <v>165</v>
      </c>
      <c r="C49" s="172">
        <f>SUM(C45:C48)</f>
        <v>56170</v>
      </c>
      <c r="D49" s="172">
        <f t="shared" ref="D49:I49" si="10">SUM(D45:D48)</f>
        <v>0</v>
      </c>
      <c r="E49" s="172">
        <f t="shared" si="10"/>
        <v>0</v>
      </c>
      <c r="F49" s="172">
        <f t="shared" si="10"/>
        <v>89540.44</v>
      </c>
      <c r="G49" s="172">
        <f t="shared" si="10"/>
        <v>0</v>
      </c>
      <c r="H49" s="172">
        <f t="shared" si="10"/>
        <v>0</v>
      </c>
      <c r="I49" s="172">
        <f t="shared" si="10"/>
        <v>0</v>
      </c>
      <c r="L49" s="59"/>
    </row>
    <row r="50" spans="1:12" ht="12.75" x14ac:dyDescent="0.2">
      <c r="A50" s="105"/>
      <c r="B50" s="105"/>
      <c r="C50" s="75"/>
      <c r="D50" s="75"/>
      <c r="E50" s="75"/>
      <c r="F50" s="75"/>
      <c r="G50" s="75"/>
      <c r="H50" s="75"/>
      <c r="I50" s="75"/>
    </row>
    <row r="51" spans="1:12" ht="13.5" thickBot="1" x14ac:dyDescent="0.25">
      <c r="A51" s="105"/>
      <c r="B51" s="165" t="s">
        <v>206</v>
      </c>
      <c r="C51" s="174">
        <f>+C42+C33+C24+C49</f>
        <v>450367639</v>
      </c>
      <c r="D51" s="174">
        <f t="shared" ref="D51:I51" si="11">+D42+D33+D24+D49</f>
        <v>373856241</v>
      </c>
      <c r="E51" s="174">
        <f t="shared" si="11"/>
        <v>456921757</v>
      </c>
      <c r="F51" s="174">
        <f t="shared" si="11"/>
        <v>343153924.39000005</v>
      </c>
      <c r="G51" s="174">
        <f t="shared" si="11"/>
        <v>426041679.11000007</v>
      </c>
      <c r="H51" s="174">
        <f t="shared" si="11"/>
        <v>489981920</v>
      </c>
      <c r="I51" s="174">
        <f t="shared" si="11"/>
        <v>33060163</v>
      </c>
      <c r="L51" s="44">
        <f>+L45+L42+L33+L24</f>
        <v>364653514</v>
      </c>
    </row>
    <row r="52" spans="1:12" ht="12.75" thickTop="1" x14ac:dyDescent="0.2">
      <c r="A52" s="110"/>
      <c r="B52" s="110"/>
      <c r="C52" s="113"/>
      <c r="D52" s="113"/>
      <c r="E52" s="113"/>
      <c r="F52" s="113"/>
      <c r="G52" s="113"/>
      <c r="H52" s="113"/>
      <c r="I52" s="113"/>
      <c r="L52" s="45"/>
    </row>
    <row r="53" spans="1:12" x14ac:dyDescent="0.2">
      <c r="A53" s="110"/>
      <c r="B53" s="110"/>
      <c r="C53" s="113"/>
      <c r="D53" s="113"/>
      <c r="E53" s="113"/>
      <c r="F53" s="113"/>
      <c r="G53" s="113"/>
      <c r="H53" s="113"/>
      <c r="I53" s="113"/>
      <c r="L53" s="45"/>
    </row>
    <row r="54" spans="1:12" x14ac:dyDescent="0.2">
      <c r="A54" s="114"/>
      <c r="B54" s="110"/>
      <c r="C54" s="113"/>
      <c r="D54" s="115"/>
      <c r="E54" s="113"/>
      <c r="F54" s="115"/>
      <c r="G54" s="113"/>
      <c r="H54" s="113"/>
      <c r="I54" s="116"/>
      <c r="L54" s="45"/>
    </row>
    <row r="55" spans="1:12" x14ac:dyDescent="0.2">
      <c r="A55" s="110"/>
      <c r="B55" s="110"/>
      <c r="C55" s="113"/>
      <c r="D55" s="115"/>
      <c r="E55" s="113"/>
      <c r="F55" s="115"/>
      <c r="G55" s="113"/>
      <c r="H55" s="113"/>
      <c r="I55" s="116"/>
      <c r="L55" s="45"/>
    </row>
    <row r="56" spans="1:12" x14ac:dyDescent="0.2">
      <c r="A56" s="110"/>
      <c r="B56" s="110"/>
      <c r="C56" s="113"/>
      <c r="D56" s="115"/>
      <c r="E56" s="113"/>
      <c r="F56" s="115"/>
      <c r="G56" s="113"/>
      <c r="H56" s="113"/>
      <c r="I56" s="116"/>
      <c r="L56" s="45"/>
    </row>
    <row r="57" spans="1:12" x14ac:dyDescent="0.2">
      <c r="A57" s="110"/>
      <c r="B57" s="110"/>
      <c r="C57" s="88"/>
      <c r="D57" s="111"/>
      <c r="E57" s="88"/>
      <c r="F57" s="111"/>
      <c r="G57" s="88"/>
      <c r="H57" s="88"/>
      <c r="I57" s="112"/>
    </row>
    <row r="58" spans="1:12" x14ac:dyDescent="0.2">
      <c r="A58" s="110"/>
      <c r="B58" s="110"/>
      <c r="C58" s="88"/>
      <c r="D58" s="111"/>
      <c r="E58" s="88"/>
      <c r="F58" s="111"/>
      <c r="G58" s="88"/>
      <c r="H58" s="88"/>
      <c r="I58" s="112"/>
    </row>
    <row r="59" spans="1:12" x14ac:dyDescent="0.2">
      <c r="A59" s="110"/>
      <c r="B59" s="110"/>
      <c r="C59" s="88"/>
      <c r="D59" s="111"/>
      <c r="E59" s="88"/>
      <c r="F59" s="111"/>
      <c r="G59" s="88"/>
      <c r="H59" s="88"/>
      <c r="I59" s="112"/>
    </row>
    <row r="60" spans="1:12" x14ac:dyDescent="0.2">
      <c r="A60" s="110"/>
      <c r="B60" s="110"/>
      <c r="C60" s="88"/>
      <c r="D60" s="111"/>
      <c r="E60" s="88"/>
      <c r="F60" s="111"/>
      <c r="G60" s="88"/>
      <c r="H60" s="88"/>
      <c r="I60" s="112"/>
    </row>
    <row r="61" spans="1:12" x14ac:dyDescent="0.2">
      <c r="A61" s="110"/>
      <c r="B61" s="110"/>
      <c r="C61" s="88"/>
      <c r="D61" s="111"/>
      <c r="E61" s="88"/>
      <c r="F61" s="111"/>
      <c r="G61" s="88"/>
      <c r="H61" s="88"/>
      <c r="I61" s="112"/>
    </row>
    <row r="62" spans="1:12" x14ac:dyDescent="0.2">
      <c r="A62" s="110"/>
      <c r="B62" s="110"/>
      <c r="C62" s="88"/>
      <c r="D62" s="111"/>
      <c r="E62" s="88"/>
      <c r="F62" s="111"/>
      <c r="G62" s="88"/>
      <c r="H62" s="88"/>
      <c r="I62" s="112"/>
    </row>
    <row r="63" spans="1:12" x14ac:dyDescent="0.2">
      <c r="A63" s="110"/>
      <c r="B63" s="110"/>
      <c r="C63" s="88"/>
      <c r="D63" s="111"/>
      <c r="E63" s="88"/>
      <c r="F63" s="111"/>
      <c r="G63" s="88"/>
      <c r="H63" s="88"/>
      <c r="I63" s="112"/>
    </row>
    <row r="64" spans="1:12" x14ac:dyDescent="0.2">
      <c r="A64" s="110"/>
      <c r="B64" s="110"/>
      <c r="C64" s="88"/>
      <c r="D64" s="111"/>
      <c r="E64" s="88"/>
      <c r="F64" s="111"/>
      <c r="G64" s="88"/>
      <c r="H64" s="88"/>
      <c r="I64" s="112"/>
    </row>
    <row r="65" spans="1:9" x14ac:dyDescent="0.2">
      <c r="A65" s="110"/>
      <c r="B65" s="110"/>
      <c r="C65" s="88"/>
      <c r="D65" s="111"/>
      <c r="E65" s="88"/>
      <c r="F65" s="111"/>
      <c r="G65" s="88"/>
      <c r="H65" s="88"/>
      <c r="I65" s="112"/>
    </row>
    <row r="66" spans="1:9" x14ac:dyDescent="0.2">
      <c r="A66" s="110"/>
      <c r="B66" s="110"/>
      <c r="C66" s="88"/>
      <c r="D66" s="111"/>
      <c r="E66" s="88"/>
      <c r="F66" s="111"/>
      <c r="G66" s="88"/>
      <c r="H66" s="88"/>
      <c r="I66" s="112"/>
    </row>
    <row r="83" spans="11:11" x14ac:dyDescent="0.2">
      <c r="K83" s="38" t="str">
        <f>IF(C83=0,"n/a",(+I83-C83)/C83)</f>
        <v>n/a</v>
      </c>
    </row>
    <row r="84" spans="11:11" x14ac:dyDescent="0.2">
      <c r="K84" s="71" t="str">
        <f>IF(C84=0,"n/a",(+I84-C84)/C84)</f>
        <v>n/a</v>
      </c>
    </row>
    <row r="121" spans="11:11" x14ac:dyDescent="0.2">
      <c r="K121" s="38" t="str">
        <f>IF(C121=0,"n/a",(+I121-C121)/C121)</f>
        <v>n/a</v>
      </c>
    </row>
  </sheetData>
  <mergeCells count="3">
    <mergeCell ref="I4:I6"/>
    <mergeCell ref="A1:I1"/>
    <mergeCell ref="A2:I2"/>
  </mergeCells>
  <pageMargins left="0.7" right="0.7" top="0.75" bottom="0.75" header="0.3" footer="0.3"/>
  <pageSetup scale="91" orientation="portrait" r:id="rId1"/>
  <headerFooter>
    <oddFooter>&amp;C&amp;"Arial,Regular"&amp;10 -3-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63"/>
  <sheetViews>
    <sheetView zoomScale="110" zoomScaleNormal="110" workbookViewId="0">
      <selection sqref="A1:I1"/>
    </sheetView>
  </sheetViews>
  <sheetFormatPr defaultRowHeight="15" x14ac:dyDescent="0.25"/>
  <cols>
    <col min="2" max="2" width="24.7109375" customWidth="1"/>
    <col min="3" max="3" width="12.5703125" style="66" customWidth="1"/>
    <col min="4" max="4" width="1.28515625" style="36" customWidth="1"/>
    <col min="5" max="5" width="12.5703125" style="36" customWidth="1"/>
    <col min="6" max="6" width="1.28515625" style="51" customWidth="1"/>
    <col min="7" max="7" width="9.7109375" bestFit="1" customWidth="1"/>
    <col min="8" max="8" width="1.28515625" style="51" customWidth="1"/>
    <col min="9" max="9" width="8.28515625" bestFit="1" customWidth="1"/>
    <col min="10" max="10" width="0" hidden="1" customWidth="1"/>
    <col min="11" max="11" width="8.7109375" style="27" hidden="1" customWidth="1"/>
  </cols>
  <sheetData>
    <row r="1" spans="1:11" x14ac:dyDescent="0.25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K1"/>
    </row>
    <row r="2" spans="1:11" x14ac:dyDescent="0.25">
      <c r="A2" s="312" t="s">
        <v>150</v>
      </c>
      <c r="B2" s="312"/>
      <c r="C2" s="312"/>
      <c r="D2" s="312"/>
      <c r="E2" s="312"/>
      <c r="F2" s="312"/>
      <c r="G2" s="312"/>
      <c r="H2" s="312"/>
      <c r="I2" s="312"/>
      <c r="K2"/>
    </row>
    <row r="3" spans="1:11" x14ac:dyDescent="0.25">
      <c r="A3" s="313" t="s">
        <v>47</v>
      </c>
      <c r="B3" s="313"/>
      <c r="C3" s="313"/>
      <c r="D3" s="313"/>
      <c r="E3" s="313"/>
      <c r="F3" s="313"/>
      <c r="G3" s="313"/>
      <c r="H3" s="313"/>
      <c r="I3" s="313"/>
      <c r="K3"/>
    </row>
    <row r="4" spans="1:11" x14ac:dyDescent="0.25">
      <c r="A4" s="110"/>
      <c r="B4" s="110"/>
      <c r="C4" s="110"/>
      <c r="D4" s="239"/>
      <c r="E4" s="239"/>
      <c r="F4" s="240"/>
      <c r="G4" s="110"/>
      <c r="H4" s="240"/>
      <c r="I4" s="110"/>
    </row>
    <row r="5" spans="1:11" x14ac:dyDescent="0.25">
      <c r="A5" s="241"/>
      <c r="B5" s="241"/>
      <c r="C5" s="182" t="s">
        <v>150</v>
      </c>
      <c r="D5" s="182"/>
      <c r="E5" s="182" t="s">
        <v>150</v>
      </c>
      <c r="F5" s="183"/>
      <c r="G5" s="184" t="s">
        <v>48</v>
      </c>
      <c r="H5" s="185"/>
      <c r="I5" s="186"/>
      <c r="K5" s="31" t="s">
        <v>48</v>
      </c>
    </row>
    <row r="6" spans="1:11" x14ac:dyDescent="0.25">
      <c r="A6" s="241"/>
      <c r="B6" s="241"/>
      <c r="C6" s="187" t="s">
        <v>155</v>
      </c>
      <c r="D6" s="187"/>
      <c r="E6" s="187" t="s">
        <v>156</v>
      </c>
      <c r="F6" s="188"/>
      <c r="G6" s="184" t="s">
        <v>49</v>
      </c>
      <c r="H6" s="185"/>
      <c r="I6" s="189" t="s">
        <v>48</v>
      </c>
      <c r="K6" s="31" t="s">
        <v>49</v>
      </c>
    </row>
    <row r="7" spans="1:11" x14ac:dyDescent="0.25">
      <c r="A7" s="241"/>
      <c r="B7" s="241"/>
      <c r="C7" s="190" t="s">
        <v>175</v>
      </c>
      <c r="D7" s="188"/>
      <c r="E7" s="190" t="s">
        <v>181</v>
      </c>
      <c r="F7" s="188"/>
      <c r="G7" s="191" t="s">
        <v>50</v>
      </c>
      <c r="H7" s="185"/>
      <c r="I7" s="192" t="s">
        <v>51</v>
      </c>
      <c r="K7" s="32" t="s">
        <v>50</v>
      </c>
    </row>
    <row r="8" spans="1:11" x14ac:dyDescent="0.25">
      <c r="A8" s="193" t="s">
        <v>52</v>
      </c>
      <c r="B8" s="241"/>
      <c r="C8" s="194"/>
      <c r="D8" s="194"/>
      <c r="E8" s="194"/>
      <c r="F8" s="195"/>
      <c r="G8" s="196"/>
      <c r="H8" s="197"/>
      <c r="I8" s="198"/>
      <c r="K8" s="33"/>
    </row>
    <row r="9" spans="1:11" x14ac:dyDescent="0.25">
      <c r="A9" s="199" t="s">
        <v>53</v>
      </c>
      <c r="B9" s="241"/>
      <c r="C9" s="200">
        <v>277212698</v>
      </c>
      <c r="D9" s="201"/>
      <c r="E9" s="200">
        <v>274024373</v>
      </c>
      <c r="F9" s="202"/>
      <c r="G9" s="203">
        <f t="shared" ref="G9:G14" si="0">(+E9-C9)/C9</f>
        <v>-1.150136708384116E-2</v>
      </c>
      <c r="H9" s="204"/>
      <c r="I9" s="205">
        <f t="shared" ref="I9:I14" si="1">+E9/E$162</f>
        <v>0.54968701669394415</v>
      </c>
      <c r="K9" s="29" t="e">
        <f>(+E9-#REF!)/#REF!</f>
        <v>#REF!</v>
      </c>
    </row>
    <row r="10" spans="1:11" x14ac:dyDescent="0.25">
      <c r="A10" s="199" t="s">
        <v>54</v>
      </c>
      <c r="B10" s="241"/>
      <c r="C10" s="206">
        <v>1745438</v>
      </c>
      <c r="D10" s="207"/>
      <c r="E10" s="206">
        <v>1985092</v>
      </c>
      <c r="F10" s="208">
        <f>+E10/E$28</f>
        <v>0.70075904396185507</v>
      </c>
      <c r="G10" s="203">
        <f t="shared" si="0"/>
        <v>0.13730307235204001</v>
      </c>
      <c r="H10" s="204"/>
      <c r="I10" s="205">
        <f t="shared" si="1"/>
        <v>3.9820519882843228E-3</v>
      </c>
      <c r="K10" s="29" t="e">
        <f>(+E10-#REF!)/#REF!</f>
        <v>#REF!</v>
      </c>
    </row>
    <row r="11" spans="1:11" x14ac:dyDescent="0.25">
      <c r="A11" s="199" t="s">
        <v>55</v>
      </c>
      <c r="B11" s="241"/>
      <c r="C11" s="206">
        <v>8373533</v>
      </c>
      <c r="D11" s="207"/>
      <c r="E11" s="206">
        <v>6878060</v>
      </c>
      <c r="F11" s="208">
        <f t="shared" ref="F11:F28" si="2">+E11/E$28</f>
        <v>2.4280299099045672</v>
      </c>
      <c r="G11" s="203">
        <f t="shared" si="0"/>
        <v>-0.17859522378427362</v>
      </c>
      <c r="H11" s="204"/>
      <c r="I11" s="205">
        <f t="shared" si="1"/>
        <v>1.37972408828099E-2</v>
      </c>
      <c r="K11" s="29" t="e">
        <f>(+E11-#REF!)/#REF!</f>
        <v>#REF!</v>
      </c>
    </row>
    <row r="12" spans="1:11" x14ac:dyDescent="0.25">
      <c r="A12" s="199" t="s">
        <v>56</v>
      </c>
      <c r="B12" s="241"/>
      <c r="C12" s="206">
        <v>441596</v>
      </c>
      <c r="D12" s="207"/>
      <c r="E12" s="206">
        <v>433045</v>
      </c>
      <c r="F12" s="208"/>
      <c r="G12" s="203">
        <f t="shared" si="0"/>
        <v>-1.9363852933450484E-2</v>
      </c>
      <c r="H12" s="204"/>
      <c r="I12" s="205">
        <f t="shared" si="1"/>
        <v>8.6867898478588631E-4</v>
      </c>
      <c r="K12" s="29" t="e">
        <f>(+E12-#REF!)/#REF!</f>
        <v>#REF!</v>
      </c>
    </row>
    <row r="13" spans="1:11" x14ac:dyDescent="0.25">
      <c r="A13" s="199" t="s">
        <v>57</v>
      </c>
      <c r="B13" s="241"/>
      <c r="C13" s="209">
        <v>1150</v>
      </c>
      <c r="D13" s="207"/>
      <c r="E13" s="209">
        <v>150</v>
      </c>
      <c r="F13" s="208">
        <f t="shared" si="2"/>
        <v>5.2951629745260301E-5</v>
      </c>
      <c r="G13" s="203">
        <f t="shared" si="0"/>
        <v>-0.86956521739130432</v>
      </c>
      <c r="H13" s="204"/>
      <c r="I13" s="205">
        <f t="shared" si="1"/>
        <v>3.0089678374737717E-7</v>
      </c>
      <c r="K13" s="29" t="e">
        <f>(+E13-#REF!)/#REF!</f>
        <v>#REF!</v>
      </c>
    </row>
    <row r="14" spans="1:11" x14ac:dyDescent="0.25">
      <c r="A14" s="193" t="s">
        <v>58</v>
      </c>
      <c r="B14" s="241"/>
      <c r="C14" s="210">
        <f>SUM(C9:C13)</f>
        <v>287774415</v>
      </c>
      <c r="D14" s="211"/>
      <c r="E14" s="210">
        <f>SUM(E9:E13)</f>
        <v>283320720</v>
      </c>
      <c r="F14" s="208"/>
      <c r="G14" s="212">
        <f t="shared" si="0"/>
        <v>-1.5476341077784833E-2</v>
      </c>
      <c r="H14" s="204"/>
      <c r="I14" s="213">
        <f t="shared" si="1"/>
        <v>0.56833528944660794</v>
      </c>
      <c r="K14" s="29" t="e">
        <f>(+E14-#REF!)/#REF!</f>
        <v>#REF!</v>
      </c>
    </row>
    <row r="15" spans="1:11" x14ac:dyDescent="0.25">
      <c r="A15" s="193"/>
      <c r="B15" s="241"/>
      <c r="C15" s="211"/>
      <c r="D15" s="211"/>
      <c r="E15" s="211"/>
      <c r="F15" s="208"/>
      <c r="G15" s="204"/>
      <c r="H15" s="204"/>
      <c r="I15" s="214"/>
      <c r="K15" s="30"/>
    </row>
    <row r="16" spans="1:11" x14ac:dyDescent="0.25">
      <c r="A16" s="193" t="s">
        <v>59</v>
      </c>
      <c r="B16" s="241"/>
      <c r="C16" s="215"/>
      <c r="D16" s="215"/>
      <c r="E16" s="215"/>
      <c r="F16" s="208">
        <f t="shared" si="2"/>
        <v>0</v>
      </c>
      <c r="G16" s="205"/>
      <c r="H16" s="214"/>
      <c r="I16" s="205"/>
      <c r="K16" s="28"/>
    </row>
    <row r="17" spans="1:11" x14ac:dyDescent="0.25">
      <c r="A17" s="199" t="s">
        <v>53</v>
      </c>
      <c r="B17" s="241"/>
      <c r="C17" s="207">
        <v>5760648</v>
      </c>
      <c r="D17" s="207"/>
      <c r="E17" s="207">
        <v>5145435</v>
      </c>
      <c r="F17" s="208">
        <f t="shared" si="2"/>
        <v>1.8163944599886894</v>
      </c>
      <c r="G17" s="203">
        <f>(+E17-C17)/C17</f>
        <v>-0.10679579797272806</v>
      </c>
      <c r="H17" s="204"/>
      <c r="I17" s="205">
        <f>+E17/E$162</f>
        <v>1.0321632283207904E-2</v>
      </c>
      <c r="K17" s="29" t="e">
        <f>(+E17-#REF!)/#REF!</f>
        <v>#REF!</v>
      </c>
    </row>
    <row r="18" spans="1:11" x14ac:dyDescent="0.25">
      <c r="A18" s="199" t="s">
        <v>54</v>
      </c>
      <c r="B18" s="241"/>
      <c r="C18" s="207">
        <v>273689</v>
      </c>
      <c r="D18" s="207"/>
      <c r="E18" s="207">
        <v>277875</v>
      </c>
      <c r="F18" s="208"/>
      <c r="G18" s="203">
        <f>(+E18-C18)/C18</f>
        <v>1.5294732342184012E-2</v>
      </c>
      <c r="H18" s="204"/>
      <c r="I18" s="205">
        <f>+E18/E$162</f>
        <v>5.5741129189201626E-4</v>
      </c>
      <c r="K18" s="29" t="e">
        <f>(+E18-#REF!)/#REF!</f>
        <v>#REF!</v>
      </c>
    </row>
    <row r="19" spans="1:11" x14ac:dyDescent="0.25">
      <c r="A19" s="199" t="s">
        <v>55</v>
      </c>
      <c r="B19" s="241"/>
      <c r="C19" s="207">
        <v>403176</v>
      </c>
      <c r="D19" s="207"/>
      <c r="E19" s="207">
        <v>397963</v>
      </c>
      <c r="F19" s="208">
        <f t="shared" si="2"/>
        <v>0.14048526285542015</v>
      </c>
      <c r="G19" s="203">
        <f>(+E19-C19)/C19</f>
        <v>-1.2929837093477786E-2</v>
      </c>
      <c r="H19" s="204"/>
      <c r="I19" s="205">
        <f>+E19/E$162</f>
        <v>7.9830524500304977E-4</v>
      </c>
      <c r="K19" s="29" t="e">
        <f>(+E19-#REF!)/#REF!</f>
        <v>#REF!</v>
      </c>
    </row>
    <row r="20" spans="1:11" x14ac:dyDescent="0.25">
      <c r="A20" s="199" t="s">
        <v>56</v>
      </c>
      <c r="B20" s="241"/>
      <c r="C20" s="207">
        <v>3520</v>
      </c>
      <c r="D20" s="207"/>
      <c r="E20" s="207">
        <v>3955</v>
      </c>
      <c r="F20" s="208"/>
      <c r="G20" s="203">
        <f>(+E20-C20)/C20</f>
        <v>0.12357954545454546</v>
      </c>
      <c r="H20" s="204"/>
      <c r="I20" s="205">
        <f>+E20/E$162</f>
        <v>7.9336451981391781E-6</v>
      </c>
      <c r="K20" s="29" t="e">
        <f>(+E20-#REF!)/#REF!</f>
        <v>#REF!</v>
      </c>
    </row>
    <row r="21" spans="1:11" x14ac:dyDescent="0.25">
      <c r="A21" s="193" t="s">
        <v>60</v>
      </c>
      <c r="B21" s="241"/>
      <c r="C21" s="210">
        <f>SUM(C17:C20)</f>
        <v>6441033</v>
      </c>
      <c r="D21" s="211"/>
      <c r="E21" s="210">
        <f>SUM(E17:E20)</f>
        <v>5825228</v>
      </c>
      <c r="F21" s="208"/>
      <c r="G21" s="212">
        <f>(+E21-C21)/C21</f>
        <v>-9.5606558761614793E-2</v>
      </c>
      <c r="H21" s="204"/>
      <c r="I21" s="213">
        <f>+E21/E$162</f>
        <v>1.168528246530111E-2</v>
      </c>
      <c r="K21" s="29" t="e">
        <f>(+E21-#REF!)/#REF!</f>
        <v>#REF!</v>
      </c>
    </row>
    <row r="22" spans="1:11" x14ac:dyDescent="0.25">
      <c r="A22" s="193"/>
      <c r="B22" s="241"/>
      <c r="C22" s="211"/>
      <c r="D22" s="211"/>
      <c r="E22" s="211"/>
      <c r="F22" s="208">
        <f t="shared" si="2"/>
        <v>0</v>
      </c>
      <c r="G22" s="204"/>
      <c r="H22" s="204"/>
      <c r="I22" s="214"/>
      <c r="K22" s="30"/>
    </row>
    <row r="23" spans="1:11" x14ac:dyDescent="0.25">
      <c r="A23" s="193" t="s">
        <v>61</v>
      </c>
      <c r="B23" s="241"/>
      <c r="C23" s="215"/>
      <c r="D23" s="215"/>
      <c r="E23" s="215"/>
      <c r="F23" s="208">
        <f t="shared" si="2"/>
        <v>0</v>
      </c>
      <c r="G23" s="205"/>
      <c r="H23" s="214"/>
      <c r="I23" s="205"/>
      <c r="K23" s="28"/>
    </row>
    <row r="24" spans="1:11" x14ac:dyDescent="0.25">
      <c r="A24" s="199" t="s">
        <v>53</v>
      </c>
      <c r="B24" s="241"/>
      <c r="C24" s="207">
        <v>1545744</v>
      </c>
      <c r="D24" s="207"/>
      <c r="E24" s="207">
        <v>1503363</v>
      </c>
      <c r="F24" s="208">
        <f t="shared" si="2"/>
        <v>0.53070347299149179</v>
      </c>
      <c r="G24" s="203">
        <f>(+E24-C24)/C24</f>
        <v>-2.7417864795205416E-2</v>
      </c>
      <c r="H24" s="204"/>
      <c r="I24" s="205">
        <f>+E24/E$162</f>
        <v>3.0157139433653877E-3</v>
      </c>
      <c r="K24" s="29" t="e">
        <f>(+E24-#REF!)/#REF!</f>
        <v>#REF!</v>
      </c>
    </row>
    <row r="25" spans="1:11" x14ac:dyDescent="0.25">
      <c r="A25" s="199" t="s">
        <v>54</v>
      </c>
      <c r="B25" s="241"/>
      <c r="C25" s="207">
        <v>465333</v>
      </c>
      <c r="D25" s="207"/>
      <c r="E25" s="207">
        <v>505208</v>
      </c>
      <c r="F25" s="208"/>
      <c r="G25" s="203">
        <f>(+E25-C25)/C25</f>
        <v>8.5691322128454248E-2</v>
      </c>
      <c r="H25" s="204"/>
      <c r="I25" s="205">
        <f>+E25/E$162</f>
        <v>1.0134364154896329E-3</v>
      </c>
      <c r="K25" s="29" t="e">
        <f>(+E25-#REF!)/#REF!</f>
        <v>#REF!</v>
      </c>
    </row>
    <row r="26" spans="1:11" x14ac:dyDescent="0.25">
      <c r="A26" s="199" t="s">
        <v>55</v>
      </c>
      <c r="B26" s="241"/>
      <c r="C26" s="207">
        <v>279128</v>
      </c>
      <c r="D26" s="207"/>
      <c r="E26" s="207">
        <v>338617</v>
      </c>
      <c r="F26" s="208">
        <f t="shared" si="2"/>
        <v>0.11953548006300538</v>
      </c>
      <c r="G26" s="203">
        <f>(+E26-C26)/C26</f>
        <v>0.21312444469920611</v>
      </c>
      <c r="H26" s="204"/>
      <c r="I26" s="205">
        <f>+E26/E$162</f>
        <v>6.7925844148123739E-4</v>
      </c>
      <c r="K26" s="29" t="e">
        <f>(+E26-#REF!)/#REF!</f>
        <v>#REF!</v>
      </c>
    </row>
    <row r="27" spans="1:11" x14ac:dyDescent="0.25">
      <c r="A27" s="199" t="s">
        <v>56</v>
      </c>
      <c r="B27" s="241"/>
      <c r="C27" s="207">
        <v>409358</v>
      </c>
      <c r="D27" s="207"/>
      <c r="E27" s="207">
        <v>485586</v>
      </c>
      <c r="F27" s="208"/>
      <c r="G27" s="203">
        <f>(+E27-C27)/C27</f>
        <v>0.18621353436356441</v>
      </c>
      <c r="H27" s="204"/>
      <c r="I27" s="205">
        <f>+E27/E$162</f>
        <v>9.7407510421835923E-4</v>
      </c>
      <c r="K27" s="29" t="e">
        <f>(+E27-#REF!)/#REF!</f>
        <v>#REF!</v>
      </c>
    </row>
    <row r="28" spans="1:11" x14ac:dyDescent="0.25">
      <c r="A28" s="193" t="s">
        <v>62</v>
      </c>
      <c r="B28" s="241"/>
      <c r="C28" s="210">
        <f>SUM(C24:C27)</f>
        <v>2699563</v>
      </c>
      <c r="D28" s="211"/>
      <c r="E28" s="210">
        <f>SUM(E24:E27)</f>
        <v>2832774</v>
      </c>
      <c r="F28" s="208">
        <f t="shared" si="2"/>
        <v>1</v>
      </c>
      <c r="G28" s="212">
        <f>(+E28-C28)/C28</f>
        <v>4.9345394050814888E-2</v>
      </c>
      <c r="H28" s="204"/>
      <c r="I28" s="213">
        <f>+E28/E$162</f>
        <v>5.6824839045546173E-3</v>
      </c>
      <c r="K28" s="29" t="e">
        <f>(+E28-#REF!)/#REF!</f>
        <v>#REF!</v>
      </c>
    </row>
    <row r="29" spans="1:11" x14ac:dyDescent="0.25">
      <c r="A29" s="193"/>
      <c r="B29" s="241"/>
      <c r="C29" s="211"/>
      <c r="D29" s="211"/>
      <c r="E29" s="211"/>
      <c r="F29" s="208"/>
      <c r="G29" s="204"/>
      <c r="H29" s="204"/>
      <c r="I29" s="214"/>
      <c r="K29" s="30"/>
    </row>
    <row r="30" spans="1:11" x14ac:dyDescent="0.25">
      <c r="A30" s="193" t="s">
        <v>63</v>
      </c>
      <c r="B30" s="241"/>
      <c r="C30" s="215"/>
      <c r="D30" s="215"/>
      <c r="E30" s="215"/>
      <c r="F30" s="208"/>
      <c r="G30" s="203"/>
      <c r="H30" s="204"/>
      <c r="I30" s="205"/>
      <c r="K30" s="29"/>
    </row>
    <row r="31" spans="1:11" x14ac:dyDescent="0.25">
      <c r="A31" s="199" t="s">
        <v>53</v>
      </c>
      <c r="B31" s="241"/>
      <c r="C31" s="207">
        <v>9165745</v>
      </c>
      <c r="D31" s="207"/>
      <c r="E31" s="207">
        <v>10555256</v>
      </c>
      <c r="F31" s="208"/>
      <c r="G31" s="203">
        <f>(+E31-C31)/C31</f>
        <v>0.15159826069784835</v>
      </c>
      <c r="H31" s="204"/>
      <c r="I31" s="205">
        <f>+E31/E$162</f>
        <v>2.1173617213534703E-2</v>
      </c>
      <c r="K31" s="29" t="e">
        <f>(+E31-#REF!)/#REF!</f>
        <v>#REF!</v>
      </c>
    </row>
    <row r="32" spans="1:11" x14ac:dyDescent="0.25">
      <c r="A32" s="199" t="s">
        <v>54</v>
      </c>
      <c r="B32" s="241"/>
      <c r="C32" s="207">
        <v>336765</v>
      </c>
      <c r="D32" s="207"/>
      <c r="E32" s="207">
        <v>291074</v>
      </c>
      <c r="F32" s="208"/>
      <c r="G32" s="203">
        <f>(+E32-C32)/C32</f>
        <v>-0.13567621338321975</v>
      </c>
      <c r="H32" s="204"/>
      <c r="I32" s="205">
        <f>+E32/E$162</f>
        <v>5.8388820288322711E-4</v>
      </c>
      <c r="K32" s="29" t="e">
        <f>(+E32-#REF!)/#REF!</f>
        <v>#REF!</v>
      </c>
    </row>
    <row r="33" spans="1:11" x14ac:dyDescent="0.25">
      <c r="A33" s="199" t="s">
        <v>55</v>
      </c>
      <c r="B33" s="241"/>
      <c r="C33" s="207">
        <v>221906</v>
      </c>
      <c r="D33" s="207"/>
      <c r="E33" s="207">
        <v>214955</v>
      </c>
      <c r="F33" s="208"/>
      <c r="G33" s="203">
        <f>(+E33-C33)/C33</f>
        <v>-3.1324074157526159E-2</v>
      </c>
      <c r="H33" s="204"/>
      <c r="I33" s="205">
        <f>+E33/E$162</f>
        <v>4.3119512100278309E-4</v>
      </c>
      <c r="K33" s="29" t="e">
        <f>(+E33-#REF!)/#REF!</f>
        <v>#REF!</v>
      </c>
    </row>
    <row r="34" spans="1:11" x14ac:dyDescent="0.25">
      <c r="A34" s="199" t="s">
        <v>56</v>
      </c>
      <c r="B34" s="241"/>
      <c r="C34" s="207">
        <v>175952</v>
      </c>
      <c r="D34" s="207"/>
      <c r="E34" s="207">
        <v>174775</v>
      </c>
      <c r="F34" s="208"/>
      <c r="G34" s="203">
        <f>(+E34-C34)/C34</f>
        <v>-6.6893243611894151E-3</v>
      </c>
      <c r="H34" s="204"/>
      <c r="I34" s="205">
        <f>+E34/E$162</f>
        <v>3.5059490252965228E-4</v>
      </c>
      <c r="K34" s="29" t="e">
        <f>(+E34-#REF!)/#REF!</f>
        <v>#REF!</v>
      </c>
    </row>
    <row r="35" spans="1:11" x14ac:dyDescent="0.25">
      <c r="A35" s="216" t="s">
        <v>64</v>
      </c>
      <c r="B35" s="217"/>
      <c r="C35" s="210">
        <f>SUM(C31:C34)</f>
        <v>9900368</v>
      </c>
      <c r="D35" s="211"/>
      <c r="E35" s="210">
        <f>SUM(E31:E34)</f>
        <v>11236060</v>
      </c>
      <c r="F35" s="208"/>
      <c r="G35" s="212">
        <f>(+E35-C35)/C35</f>
        <v>0.13491336887679325</v>
      </c>
      <c r="H35" s="204"/>
      <c r="I35" s="213">
        <f>+E35/E$162</f>
        <v>2.2539295439950365E-2</v>
      </c>
      <c r="K35" s="29" t="e">
        <f>(+E35-#REF!)/#REF!</f>
        <v>#REF!</v>
      </c>
    </row>
    <row r="36" spans="1:11" x14ac:dyDescent="0.25">
      <c r="A36" s="216"/>
      <c r="B36" s="217"/>
      <c r="C36" s="211"/>
      <c r="D36" s="211"/>
      <c r="E36" s="211"/>
      <c r="F36" s="208"/>
      <c r="G36" s="204"/>
      <c r="H36" s="204"/>
      <c r="I36" s="214"/>
      <c r="K36" s="30"/>
    </row>
    <row r="37" spans="1:11" x14ac:dyDescent="0.25">
      <c r="A37" s="193" t="s">
        <v>65</v>
      </c>
      <c r="B37" s="241"/>
      <c r="C37" s="218"/>
      <c r="D37" s="218"/>
      <c r="E37" s="218"/>
      <c r="F37" s="208"/>
      <c r="G37" s="203"/>
      <c r="H37" s="204"/>
      <c r="I37" s="205"/>
      <c r="K37" s="29"/>
    </row>
    <row r="38" spans="1:11" x14ac:dyDescent="0.25">
      <c r="A38" s="199" t="s">
        <v>53</v>
      </c>
      <c r="B38" s="241"/>
      <c r="C38" s="218">
        <v>29782531</v>
      </c>
      <c r="D38" s="218"/>
      <c r="E38" s="207">
        <v>28136227</v>
      </c>
      <c r="F38" s="219"/>
      <c r="G38" s="203">
        <f>(+E38-C38)/C38</f>
        <v>-5.5277504789636583E-2</v>
      </c>
      <c r="H38" s="204"/>
      <c r="I38" s="205">
        <f>+E38/E$162</f>
        <v>5.6440668073907428E-2</v>
      </c>
      <c r="K38" s="29" t="e">
        <f>(+E38-#REF!)/#REF!</f>
        <v>#REF!</v>
      </c>
    </row>
    <row r="39" spans="1:11" x14ac:dyDescent="0.25">
      <c r="A39" s="199" t="s">
        <v>54</v>
      </c>
      <c r="B39" s="241"/>
      <c r="C39" s="218">
        <v>132382</v>
      </c>
      <c r="D39" s="218"/>
      <c r="E39" s="218">
        <v>125316</v>
      </c>
      <c r="F39" s="219"/>
      <c r="G39" s="203">
        <f>(+E39-C39)/C39</f>
        <v>-5.3375836594098898E-2</v>
      </c>
      <c r="H39" s="204"/>
      <c r="I39" s="205">
        <f>+E39/E$162</f>
        <v>2.5138120901390879E-4</v>
      </c>
      <c r="K39" s="29" t="e">
        <f>(+E39-#REF!)/#REF!</f>
        <v>#REF!</v>
      </c>
    </row>
    <row r="40" spans="1:11" x14ac:dyDescent="0.25">
      <c r="A40" s="199" t="s">
        <v>55</v>
      </c>
      <c r="B40" s="241"/>
      <c r="C40" s="218">
        <v>247712</v>
      </c>
      <c r="D40" s="218"/>
      <c r="E40" s="218">
        <v>239728</v>
      </c>
      <c r="F40" s="219"/>
      <c r="G40" s="203">
        <f>(+E40-C40)/C40</f>
        <v>-3.2230977909830774E-2</v>
      </c>
      <c r="H40" s="204"/>
      <c r="I40" s="205">
        <f>+E40/E$162</f>
        <v>4.8088922782794154E-4</v>
      </c>
      <c r="K40" s="29" t="e">
        <f>(+E40-#REF!)/#REF!</f>
        <v>#REF!</v>
      </c>
    </row>
    <row r="41" spans="1:11" x14ac:dyDescent="0.25">
      <c r="A41" s="199" t="s">
        <v>56</v>
      </c>
      <c r="B41" s="241"/>
      <c r="C41" s="218">
        <v>188644</v>
      </c>
      <c r="D41" s="218"/>
      <c r="E41" s="218">
        <v>191314</v>
      </c>
      <c r="F41" s="219"/>
      <c r="G41" s="203">
        <f>(+E41-C41)/C41</f>
        <v>1.4153643900680647E-2</v>
      </c>
      <c r="H41" s="204"/>
      <c r="I41" s="205">
        <f>+E41/E$162</f>
        <v>3.8377178190563809E-4</v>
      </c>
      <c r="K41" s="29" t="e">
        <f>(+E41-#REF!)/#REF!</f>
        <v>#REF!</v>
      </c>
    </row>
    <row r="42" spans="1:11" x14ac:dyDescent="0.25">
      <c r="A42" s="216" t="s">
        <v>66</v>
      </c>
      <c r="B42" s="217"/>
      <c r="C42" s="220">
        <f>SUM(C38:C41)</f>
        <v>30351269</v>
      </c>
      <c r="D42" s="221"/>
      <c r="E42" s="220">
        <f>SUM(E38:E41)</f>
        <v>28692585</v>
      </c>
      <c r="F42" s="219"/>
      <c r="G42" s="212">
        <f>(+E42-C42)/C42</f>
        <v>-5.4649576595957157E-2</v>
      </c>
      <c r="H42" s="204"/>
      <c r="I42" s="213">
        <f>+E42/E$162</f>
        <v>5.7556710292654918E-2</v>
      </c>
      <c r="K42" s="29" t="e">
        <f>(+E42-#REF!)/#REF!</f>
        <v>#REF!</v>
      </c>
    </row>
    <row r="43" spans="1:11" x14ac:dyDescent="0.25">
      <c r="A43" s="216"/>
      <c r="B43" s="217"/>
      <c r="C43" s="221"/>
      <c r="D43" s="221"/>
      <c r="E43" s="221"/>
      <c r="F43" s="219"/>
      <c r="G43" s="204"/>
      <c r="H43" s="204"/>
      <c r="I43" s="214"/>
      <c r="K43" s="30"/>
    </row>
    <row r="44" spans="1:11" x14ac:dyDescent="0.25">
      <c r="A44" s="193" t="s">
        <v>67</v>
      </c>
      <c r="B44" s="241"/>
      <c r="C44" s="215"/>
      <c r="D44" s="215"/>
      <c r="E44" s="215"/>
      <c r="F44" s="195"/>
      <c r="G44" s="222"/>
      <c r="H44" s="223"/>
      <c r="I44" s="224"/>
      <c r="K44" s="34"/>
    </row>
    <row r="45" spans="1:11" x14ac:dyDescent="0.25">
      <c r="A45" s="199" t="s">
        <v>53</v>
      </c>
      <c r="B45" s="241"/>
      <c r="C45" s="207">
        <v>20058337</v>
      </c>
      <c r="D45" s="207"/>
      <c r="E45" s="207">
        <v>19246442</v>
      </c>
      <c r="F45" s="225"/>
      <c r="G45" s="203">
        <f>(+E45-C45)/C45</f>
        <v>-4.0476685579666952E-2</v>
      </c>
      <c r="H45" s="204"/>
      <c r="I45" s="205">
        <f>+E45/E$162</f>
        <v>3.8607949975869582E-2</v>
      </c>
      <c r="K45" s="29" t="e">
        <f>(+E45-#REF!)/#REF!</f>
        <v>#REF!</v>
      </c>
    </row>
    <row r="46" spans="1:11" x14ac:dyDescent="0.25">
      <c r="A46" s="199" t="s">
        <v>54</v>
      </c>
      <c r="B46" s="241"/>
      <c r="C46" s="207">
        <v>91969</v>
      </c>
      <c r="D46" s="207"/>
      <c r="E46" s="207">
        <v>92803</v>
      </c>
      <c r="F46" s="225"/>
      <c r="G46" s="203">
        <f>(+E46-C46)/C46</f>
        <v>9.0682730050343045E-3</v>
      </c>
      <c r="H46" s="204"/>
      <c r="I46" s="205">
        <f>+E46/E$162</f>
        <v>1.8616082814738562E-4</v>
      </c>
      <c r="K46" s="29" t="e">
        <f>(+E46-#REF!)/#REF!</f>
        <v>#REF!</v>
      </c>
    </row>
    <row r="47" spans="1:11" x14ac:dyDescent="0.25">
      <c r="A47" s="199" t="s">
        <v>68</v>
      </c>
      <c r="B47" s="241"/>
      <c r="C47" s="207">
        <v>550018</v>
      </c>
      <c r="D47" s="207"/>
      <c r="E47" s="207">
        <v>441118</v>
      </c>
      <c r="F47" s="225"/>
      <c r="G47" s="203">
        <f>(+E47-C47)/C47</f>
        <v>-0.19799352021206579</v>
      </c>
      <c r="H47" s="204"/>
      <c r="I47" s="205">
        <f>+E47/E$162</f>
        <v>8.8487324968717013E-4</v>
      </c>
      <c r="K47" s="29" t="e">
        <f>(+E47-#REF!)/#REF!</f>
        <v>#REF!</v>
      </c>
    </row>
    <row r="48" spans="1:11" x14ac:dyDescent="0.25">
      <c r="A48" s="199" t="s">
        <v>56</v>
      </c>
      <c r="B48" s="241"/>
      <c r="C48" s="207">
        <v>51105</v>
      </c>
      <c r="D48" s="207"/>
      <c r="E48" s="207">
        <v>38610</v>
      </c>
      <c r="F48" s="225"/>
      <c r="G48" s="203">
        <f>(+E48-C48)/C48</f>
        <v>-0.24449662459641913</v>
      </c>
      <c r="H48" s="204"/>
      <c r="I48" s="205">
        <f>+E48/E$162</f>
        <v>7.7450832136574882E-5</v>
      </c>
      <c r="K48" s="29" t="e">
        <f>(+E48-#REF!)/#REF!</f>
        <v>#REF!</v>
      </c>
    </row>
    <row r="49" spans="1:11" x14ac:dyDescent="0.25">
      <c r="A49" s="193" t="s">
        <v>69</v>
      </c>
      <c r="B49" s="241"/>
      <c r="C49" s="210">
        <f>SUM(C45:C48)</f>
        <v>20751429</v>
      </c>
      <c r="D49" s="211"/>
      <c r="E49" s="210">
        <f>SUM(E45:E48)</f>
        <v>19818973</v>
      </c>
      <c r="F49" s="225"/>
      <c r="G49" s="212">
        <f>(+E49-C49)/C49</f>
        <v>-4.493454402585962E-2</v>
      </c>
      <c r="H49" s="204"/>
      <c r="I49" s="213">
        <f>+E49/E$162</f>
        <v>3.9756434885840714E-2</v>
      </c>
      <c r="K49" s="29" t="e">
        <f>(+E49-#REF!)/#REF!</f>
        <v>#REF!</v>
      </c>
    </row>
    <row r="50" spans="1:11" s="27" customFormat="1" x14ac:dyDescent="0.25">
      <c r="A50" s="193"/>
      <c r="B50" s="241"/>
      <c r="C50" s="225"/>
      <c r="D50" s="225"/>
      <c r="E50" s="225"/>
      <c r="F50" s="225"/>
      <c r="G50" s="204"/>
      <c r="H50" s="204"/>
      <c r="I50" s="214"/>
      <c r="K50" s="30"/>
    </row>
    <row r="51" spans="1:11" x14ac:dyDescent="0.25">
      <c r="A51" s="314" t="s">
        <v>0</v>
      </c>
      <c r="B51" s="314"/>
      <c r="C51" s="314"/>
      <c r="D51" s="314"/>
      <c r="E51" s="314"/>
      <c r="F51" s="314"/>
      <c r="G51" s="314"/>
      <c r="H51" s="314"/>
      <c r="I51" s="314"/>
      <c r="K51"/>
    </row>
    <row r="52" spans="1:11" x14ac:dyDescent="0.25">
      <c r="A52" s="314" t="str">
        <f>+A2</f>
        <v>General Fund</v>
      </c>
      <c r="B52" s="314"/>
      <c r="C52" s="314"/>
      <c r="D52" s="314"/>
      <c r="E52" s="314"/>
      <c r="F52" s="314"/>
      <c r="G52" s="314"/>
      <c r="H52" s="314"/>
      <c r="I52" s="314"/>
      <c r="K52"/>
    </row>
    <row r="53" spans="1:11" x14ac:dyDescent="0.25">
      <c r="A53" s="311" t="s">
        <v>47</v>
      </c>
      <c r="B53" s="311"/>
      <c r="C53" s="311"/>
      <c r="D53" s="311"/>
      <c r="E53" s="311"/>
      <c r="F53" s="311"/>
      <c r="G53" s="311"/>
      <c r="H53" s="311"/>
      <c r="I53" s="311"/>
      <c r="K53"/>
    </row>
    <row r="54" spans="1:11" x14ac:dyDescent="0.25">
      <c r="A54" s="311"/>
      <c r="B54" s="311"/>
      <c r="C54" s="311"/>
      <c r="D54" s="311"/>
      <c r="E54" s="311"/>
      <c r="F54" s="311"/>
      <c r="G54" s="311"/>
      <c r="H54" s="311"/>
      <c r="I54" s="311"/>
      <c r="K54"/>
    </row>
    <row r="55" spans="1:11" x14ac:dyDescent="0.25">
      <c r="A55" s="241"/>
      <c r="B55" s="241"/>
      <c r="C55" s="182" t="str">
        <f>+C5</f>
        <v>General Fund</v>
      </c>
      <c r="D55" s="182"/>
      <c r="E55" s="182" t="str">
        <f>+E5</f>
        <v>General Fund</v>
      </c>
      <c r="F55" s="183"/>
      <c r="G55" s="184" t="s">
        <v>48</v>
      </c>
      <c r="H55" s="185"/>
      <c r="I55" s="186"/>
      <c r="K55" s="31" t="s">
        <v>48</v>
      </c>
    </row>
    <row r="56" spans="1:11" x14ac:dyDescent="0.25">
      <c r="A56" s="241"/>
      <c r="B56" s="241"/>
      <c r="C56" s="182" t="str">
        <f>+C6</f>
        <v>Adopted Budget</v>
      </c>
      <c r="D56" s="187"/>
      <c r="E56" s="182" t="str">
        <f>+E6</f>
        <v>Proposed Budget</v>
      </c>
      <c r="F56" s="188"/>
      <c r="G56" s="184" t="s">
        <v>49</v>
      </c>
      <c r="H56" s="185"/>
      <c r="I56" s="189" t="s">
        <v>48</v>
      </c>
      <c r="K56" s="31" t="s">
        <v>49</v>
      </c>
    </row>
    <row r="57" spans="1:11" x14ac:dyDescent="0.25">
      <c r="A57" s="241"/>
      <c r="B57" s="241"/>
      <c r="C57" s="226" t="str">
        <f>+C7</f>
        <v>FY 2017-18</v>
      </c>
      <c r="D57" s="188"/>
      <c r="E57" s="226" t="str">
        <f>+E7</f>
        <v>FY 2018-19</v>
      </c>
      <c r="F57" s="188"/>
      <c r="G57" s="191" t="s">
        <v>50</v>
      </c>
      <c r="H57" s="185"/>
      <c r="I57" s="192" t="s">
        <v>51</v>
      </c>
      <c r="K57" s="32" t="s">
        <v>50</v>
      </c>
    </row>
    <row r="58" spans="1:11" x14ac:dyDescent="0.25">
      <c r="A58" s="193" t="s">
        <v>70</v>
      </c>
      <c r="B58" s="241"/>
      <c r="C58" s="194"/>
      <c r="D58" s="194"/>
      <c r="E58" s="194"/>
      <c r="F58" s="195"/>
      <c r="G58" s="203"/>
      <c r="H58" s="204"/>
      <c r="I58" s="205"/>
      <c r="K58" s="29"/>
    </row>
    <row r="59" spans="1:11" x14ac:dyDescent="0.25">
      <c r="A59" s="199" t="s">
        <v>53</v>
      </c>
      <c r="B59" s="241"/>
      <c r="C59" s="201">
        <v>98519</v>
      </c>
      <c r="D59" s="201"/>
      <c r="E59" s="201">
        <v>211132</v>
      </c>
      <c r="F59" s="211"/>
      <c r="G59" s="203">
        <f>(+E59-C59)/C59</f>
        <v>1.1430586993371836</v>
      </c>
      <c r="H59" s="204"/>
      <c r="I59" s="205">
        <f>+E59/E$162</f>
        <v>4.2352626497434159E-4</v>
      </c>
      <c r="K59" s="29" t="e">
        <f>(+E59-#REF!)/#REF!</f>
        <v>#REF!</v>
      </c>
    </row>
    <row r="60" spans="1:11" s="66" customFormat="1" x14ac:dyDescent="0.25">
      <c r="A60" s="199" t="s">
        <v>68</v>
      </c>
      <c r="B60" s="241"/>
      <c r="C60" s="207">
        <v>3000</v>
      </c>
      <c r="D60" s="207"/>
      <c r="E60" s="207">
        <v>3000</v>
      </c>
      <c r="F60" s="211"/>
      <c r="G60" s="203">
        <f>(+E60-C60)/C60</f>
        <v>0</v>
      </c>
      <c r="H60" s="204"/>
      <c r="I60" s="205">
        <f>+E60/E$162</f>
        <v>6.0179356749475436E-6</v>
      </c>
      <c r="K60" s="29"/>
    </row>
    <row r="61" spans="1:11" x14ac:dyDescent="0.25">
      <c r="A61" s="193" t="s">
        <v>71</v>
      </c>
      <c r="B61" s="241"/>
      <c r="C61" s="210">
        <f>SUM(C59:C60)</f>
        <v>101519</v>
      </c>
      <c r="D61" s="211"/>
      <c r="E61" s="210">
        <f>SUM(E59:E60)</f>
        <v>214132</v>
      </c>
      <c r="F61" s="211"/>
      <c r="G61" s="212">
        <f>(+E61-C61)/C61</f>
        <v>1.109280036249372</v>
      </c>
      <c r="H61" s="204"/>
      <c r="I61" s="213">
        <f>+E61/E$162</f>
        <v>4.2954420064928914E-4</v>
      </c>
      <c r="K61" s="29" t="e">
        <f>(+E61-#REF!)/#REF!</f>
        <v>#REF!</v>
      </c>
    </row>
    <row r="62" spans="1:11" x14ac:dyDescent="0.25">
      <c r="A62" s="193"/>
      <c r="B62" s="241"/>
      <c r="C62" s="215"/>
      <c r="D62" s="215"/>
      <c r="E62" s="215"/>
      <c r="F62" s="227"/>
      <c r="G62" s="203"/>
      <c r="H62" s="204"/>
      <c r="I62" s="205"/>
      <c r="K62" s="29"/>
    </row>
    <row r="63" spans="1:11" x14ac:dyDescent="0.25">
      <c r="A63" s="193" t="s">
        <v>72</v>
      </c>
      <c r="B63" s="241"/>
      <c r="C63" s="215"/>
      <c r="D63" s="215"/>
      <c r="E63" s="215"/>
      <c r="F63" s="227"/>
      <c r="G63" s="203"/>
      <c r="H63" s="204"/>
      <c r="I63" s="205"/>
      <c r="K63" s="29"/>
    </row>
    <row r="64" spans="1:11" x14ac:dyDescent="0.25">
      <c r="A64" s="199" t="s">
        <v>53</v>
      </c>
      <c r="B64" s="241"/>
      <c r="C64" s="207">
        <v>5278209</v>
      </c>
      <c r="D64" s="207"/>
      <c r="E64" s="207">
        <v>4743637</v>
      </c>
      <c r="F64" s="211"/>
      <c r="G64" s="203">
        <f>(+E64-C64)/C64</f>
        <v>-0.10127905128425191</v>
      </c>
      <c r="H64" s="204"/>
      <c r="I64" s="205">
        <f>+E64/E$162</f>
        <v>9.5156341104337128E-3</v>
      </c>
      <c r="K64" s="29" t="e">
        <f>(+E64-#REF!)/#REF!</f>
        <v>#REF!</v>
      </c>
    </row>
    <row r="65" spans="1:11" x14ac:dyDescent="0.25">
      <c r="A65" s="199" t="s">
        <v>54</v>
      </c>
      <c r="B65" s="241"/>
      <c r="C65" s="207">
        <v>8600</v>
      </c>
      <c r="D65" s="207"/>
      <c r="E65" s="207">
        <v>8615</v>
      </c>
      <c r="F65" s="211"/>
      <c r="G65" s="203">
        <f>(+E65-C65)/C65</f>
        <v>1.7441860465116279E-3</v>
      </c>
      <c r="H65" s="204"/>
      <c r="I65" s="205">
        <f>+E65/E$162</f>
        <v>1.728150527989103E-5</v>
      </c>
      <c r="K65" s="29" t="e">
        <f>(+E65-#REF!)/#REF!</f>
        <v>#REF!</v>
      </c>
    </row>
    <row r="66" spans="1:11" x14ac:dyDescent="0.25">
      <c r="A66" s="199" t="s">
        <v>68</v>
      </c>
      <c r="B66" s="241"/>
      <c r="C66" s="207">
        <v>127613</v>
      </c>
      <c r="D66" s="207"/>
      <c r="E66" s="207">
        <v>128625</v>
      </c>
      <c r="F66" s="211"/>
      <c r="G66" s="203">
        <f>(+E66-C66)/C66</f>
        <v>7.9302265443175844E-3</v>
      </c>
      <c r="H66" s="204"/>
      <c r="I66" s="205">
        <f>+E66/E$162</f>
        <v>2.5801899206337594E-4</v>
      </c>
      <c r="K66" s="29" t="e">
        <f>(+E66-#REF!)/#REF!</f>
        <v>#REF!</v>
      </c>
    </row>
    <row r="67" spans="1:11" x14ac:dyDescent="0.25">
      <c r="A67" s="199" t="s">
        <v>56</v>
      </c>
      <c r="B67" s="241"/>
      <c r="C67" s="207">
        <v>16877</v>
      </c>
      <c r="D67" s="207"/>
      <c r="E67" s="207">
        <v>14317</v>
      </c>
      <c r="F67" s="211"/>
      <c r="G67" s="203">
        <f>(+E67-C67)/C67</f>
        <v>-0.15168572613616163</v>
      </c>
      <c r="H67" s="204"/>
      <c r="I67" s="205">
        <f>+E67/E$162</f>
        <v>2.8719595019407993E-5</v>
      </c>
      <c r="K67" s="29" t="e">
        <f>(+E67-#REF!)/#REF!</f>
        <v>#REF!</v>
      </c>
    </row>
    <row r="68" spans="1:11" x14ac:dyDescent="0.25">
      <c r="A68" s="216" t="s">
        <v>73</v>
      </c>
      <c r="B68" s="217"/>
      <c r="C68" s="210">
        <f>SUM(C64:C67)</f>
        <v>5431299</v>
      </c>
      <c r="D68" s="211"/>
      <c r="E68" s="210">
        <f>SUM(E64:E67)</f>
        <v>4895194</v>
      </c>
      <c r="F68" s="211"/>
      <c r="G68" s="212">
        <f>(+E68-C68)/C68</f>
        <v>-9.8706589344464371E-2</v>
      </c>
      <c r="H68" s="204"/>
      <c r="I68" s="213">
        <f>+E68/E$162</f>
        <v>9.8196542027963879E-3</v>
      </c>
      <c r="K68" s="29" t="e">
        <f>(+E68-#REF!)/#REF!</f>
        <v>#REF!</v>
      </c>
    </row>
    <row r="69" spans="1:11" x14ac:dyDescent="0.25">
      <c r="A69" s="241"/>
      <c r="B69" s="241"/>
      <c r="C69" s="215"/>
      <c r="D69" s="215"/>
      <c r="E69" s="215"/>
      <c r="F69" s="227"/>
      <c r="G69" s="203"/>
      <c r="H69" s="204"/>
      <c r="I69" s="205"/>
      <c r="K69" s="29"/>
    </row>
    <row r="70" spans="1:11" x14ac:dyDescent="0.25">
      <c r="A70" s="193" t="s">
        <v>74</v>
      </c>
      <c r="B70" s="241"/>
      <c r="C70" s="215"/>
      <c r="D70" s="215"/>
      <c r="E70" s="215"/>
      <c r="F70" s="227"/>
      <c r="G70" s="203"/>
      <c r="H70" s="204"/>
      <c r="I70" s="205"/>
      <c r="K70" s="29"/>
    </row>
    <row r="71" spans="1:11" s="66" customFormat="1" x14ac:dyDescent="0.25">
      <c r="A71" s="199" t="s">
        <v>53</v>
      </c>
      <c r="B71" s="241"/>
      <c r="C71" s="207">
        <v>34128</v>
      </c>
      <c r="D71" s="207"/>
      <c r="E71" s="207">
        <v>39099</v>
      </c>
      <c r="F71" s="211"/>
      <c r="G71" s="203">
        <f>(+E71-C71)/C71</f>
        <v>0.14565752461322082</v>
      </c>
      <c r="H71" s="204"/>
      <c r="I71" s="205">
        <f>+E71/E$162</f>
        <v>7.843175565159133E-5</v>
      </c>
      <c r="K71" s="29" t="e">
        <f>(+E71-#REF!)/#REF!</f>
        <v>#REF!</v>
      </c>
    </row>
    <row r="72" spans="1:11" x14ac:dyDescent="0.25">
      <c r="A72" s="199" t="s">
        <v>54</v>
      </c>
      <c r="B72" s="241"/>
      <c r="C72" s="207">
        <v>15148990</v>
      </c>
      <c r="D72" s="207"/>
      <c r="E72" s="207">
        <v>15169990</v>
      </c>
      <c r="F72" s="211"/>
      <c r="G72" s="203">
        <f>(+E72-C72)/C72</f>
        <v>1.3862310292633371E-3</v>
      </c>
      <c r="H72" s="204"/>
      <c r="I72" s="205">
        <f>+E72/E$162</f>
        <v>3.0430674669865827E-2</v>
      </c>
      <c r="K72" s="29" t="e">
        <f>(+E72-#REF!)/#REF!</f>
        <v>#REF!</v>
      </c>
    </row>
    <row r="73" spans="1:11" x14ac:dyDescent="0.25">
      <c r="A73" s="216" t="s">
        <v>75</v>
      </c>
      <c r="B73" s="217"/>
      <c r="C73" s="210">
        <f>SUM(C71:C72)</f>
        <v>15183118</v>
      </c>
      <c r="D73" s="211"/>
      <c r="E73" s="210">
        <f>SUM(E71:E72)</f>
        <v>15209089</v>
      </c>
      <c r="F73" s="211"/>
      <c r="G73" s="212">
        <f>(+E73-C73)/C73</f>
        <v>1.7105182216195646E-3</v>
      </c>
      <c r="H73" s="204"/>
      <c r="I73" s="213">
        <f>+E73/E$162</f>
        <v>3.0509106425517421E-2</v>
      </c>
      <c r="K73" s="29" t="e">
        <f>(+E73-#REF!)/#REF!</f>
        <v>#REF!</v>
      </c>
    </row>
    <row r="74" spans="1:11" s="66" customFormat="1" x14ac:dyDescent="0.25">
      <c r="A74" s="216"/>
      <c r="B74" s="217"/>
      <c r="C74" s="211"/>
      <c r="D74" s="211"/>
      <c r="E74" s="211"/>
      <c r="F74" s="211"/>
      <c r="G74" s="204"/>
      <c r="H74" s="204"/>
      <c r="I74" s="214"/>
      <c r="K74" s="29"/>
    </row>
    <row r="75" spans="1:11" s="66" customFormat="1" hidden="1" x14ac:dyDescent="0.25">
      <c r="A75" s="193" t="s">
        <v>97</v>
      </c>
      <c r="B75" s="241"/>
      <c r="C75" s="215"/>
      <c r="D75" s="215"/>
      <c r="E75" s="215"/>
      <c r="F75" s="227"/>
      <c r="G75" s="203"/>
      <c r="H75" s="204"/>
      <c r="I75" s="205"/>
      <c r="K75" s="29"/>
    </row>
    <row r="76" spans="1:11" s="66" customFormat="1" hidden="1" x14ac:dyDescent="0.25">
      <c r="A76" s="199" t="s">
        <v>68</v>
      </c>
      <c r="B76" s="241"/>
      <c r="C76" s="207">
        <v>0</v>
      </c>
      <c r="D76" s="207"/>
      <c r="E76" s="207">
        <v>0</v>
      </c>
      <c r="F76" s="211"/>
      <c r="G76" s="203" t="str">
        <f>IF(C76=0,"n/a",(+E76-C76)/C76)</f>
        <v>n/a</v>
      </c>
      <c r="H76" s="204"/>
      <c r="I76" s="205">
        <f>+E76/E$162</f>
        <v>0</v>
      </c>
      <c r="K76" s="29" t="e">
        <f>(+E76-#REF!)/#REF!</f>
        <v>#REF!</v>
      </c>
    </row>
    <row r="77" spans="1:11" s="66" customFormat="1" hidden="1" x14ac:dyDescent="0.25">
      <c r="A77" s="216" t="s">
        <v>96</v>
      </c>
      <c r="B77" s="217"/>
      <c r="C77" s="210">
        <f>SUM(C76:C76)</f>
        <v>0</v>
      </c>
      <c r="D77" s="211"/>
      <c r="E77" s="210">
        <f>SUM(E76:E76)</f>
        <v>0</v>
      </c>
      <c r="F77" s="211"/>
      <c r="G77" s="212" t="str">
        <f>IF(C77=0,"n/a",(+E77-C77)/C77)</f>
        <v>n/a</v>
      </c>
      <c r="H77" s="204"/>
      <c r="I77" s="213">
        <f>+E77/E$162</f>
        <v>0</v>
      </c>
      <c r="K77" s="29" t="e">
        <f>(+E77-#REF!)/#REF!</f>
        <v>#REF!</v>
      </c>
    </row>
    <row r="78" spans="1:11" s="66" customFormat="1" hidden="1" x14ac:dyDescent="0.25">
      <c r="A78" s="216"/>
      <c r="B78" s="217"/>
      <c r="C78" s="211"/>
      <c r="D78" s="211"/>
      <c r="E78" s="211"/>
      <c r="F78" s="211"/>
      <c r="G78" s="204"/>
      <c r="H78" s="204"/>
      <c r="I78" s="214"/>
      <c r="K78" s="30"/>
    </row>
    <row r="79" spans="1:11" s="66" customFormat="1" x14ac:dyDescent="0.25">
      <c r="A79" s="193" t="s">
        <v>97</v>
      </c>
      <c r="B79" s="241"/>
      <c r="C79" s="215"/>
      <c r="D79" s="215"/>
      <c r="E79" s="215"/>
      <c r="F79" s="227"/>
      <c r="G79" s="203"/>
      <c r="H79" s="204"/>
      <c r="I79" s="205"/>
      <c r="K79" s="29"/>
    </row>
    <row r="80" spans="1:11" s="66" customFormat="1" x14ac:dyDescent="0.25">
      <c r="A80" s="199" t="s">
        <v>53</v>
      </c>
      <c r="B80" s="241"/>
      <c r="C80" s="207">
        <v>34134</v>
      </c>
      <c r="D80" s="207"/>
      <c r="E80" s="207">
        <v>39099</v>
      </c>
      <c r="F80" s="211"/>
      <c r="G80" s="203">
        <f>(+E80-C80)/C80</f>
        <v>0.14545614343469854</v>
      </c>
      <c r="H80" s="204"/>
      <c r="I80" s="205">
        <f>+E80/E$162</f>
        <v>7.843175565159133E-5</v>
      </c>
      <c r="K80" s="29" t="e">
        <f>(+E80-#REF!)/#REF!</f>
        <v>#REF!</v>
      </c>
    </row>
    <row r="81" spans="1:11" s="66" customFormat="1" x14ac:dyDescent="0.25">
      <c r="A81" s="216" t="s">
        <v>96</v>
      </c>
      <c r="B81" s="217"/>
      <c r="C81" s="210">
        <f>SUM(C80)</f>
        <v>34134</v>
      </c>
      <c r="D81" s="211"/>
      <c r="E81" s="210">
        <f>SUM(E80)</f>
        <v>39099</v>
      </c>
      <c r="F81" s="211"/>
      <c r="G81" s="212">
        <f>(+E81-C81)/C81</f>
        <v>0.14545614343469854</v>
      </c>
      <c r="H81" s="204"/>
      <c r="I81" s="213">
        <f>+E81/E$162</f>
        <v>7.843175565159133E-5</v>
      </c>
      <c r="K81" s="29" t="e">
        <f>(+E81-#REF!)/#REF!</f>
        <v>#REF!</v>
      </c>
    </row>
    <row r="82" spans="1:11" s="66" customFormat="1" x14ac:dyDescent="0.25">
      <c r="A82" s="216"/>
      <c r="B82" s="217"/>
      <c r="C82" s="211"/>
      <c r="D82" s="211"/>
      <c r="E82" s="211"/>
      <c r="F82" s="211"/>
      <c r="G82" s="204"/>
      <c r="H82" s="204"/>
      <c r="I82" s="214"/>
      <c r="K82" s="29"/>
    </row>
    <row r="83" spans="1:11" x14ac:dyDescent="0.25">
      <c r="A83" s="193" t="s">
        <v>76</v>
      </c>
      <c r="B83" s="241"/>
      <c r="C83" s="215"/>
      <c r="D83" s="215"/>
      <c r="E83" s="215"/>
      <c r="F83" s="227"/>
      <c r="G83" s="203"/>
      <c r="H83" s="204"/>
      <c r="I83" s="205"/>
      <c r="K83" s="29"/>
    </row>
    <row r="84" spans="1:11" x14ac:dyDescent="0.25">
      <c r="A84" s="199" t="s">
        <v>53</v>
      </c>
      <c r="B84" s="241"/>
      <c r="C84" s="207">
        <v>6513135</v>
      </c>
      <c r="D84" s="207"/>
      <c r="E84" s="207">
        <v>6126576</v>
      </c>
      <c r="F84" s="211"/>
      <c r="G84" s="203">
        <f t="shared" ref="G84:G89" si="3">(+E84-C84)/C84</f>
        <v>-5.9350681353910216E-2</v>
      </c>
      <c r="H84" s="204"/>
      <c r="I84" s="205">
        <f t="shared" ref="I84:I89" si="4">+E84/E$162</f>
        <v>1.2289780091892473E-2</v>
      </c>
      <c r="K84" s="29" t="e">
        <f>(+E84-#REF!)/#REF!</f>
        <v>#REF!</v>
      </c>
    </row>
    <row r="85" spans="1:11" x14ac:dyDescent="0.25">
      <c r="A85" s="199" t="s">
        <v>54</v>
      </c>
      <c r="B85" s="241"/>
      <c r="C85" s="207">
        <v>626270</v>
      </c>
      <c r="D85" s="207"/>
      <c r="E85" s="207">
        <v>629270</v>
      </c>
      <c r="F85" s="211"/>
      <c r="G85" s="203">
        <f t="shared" si="3"/>
        <v>4.7902661791240199E-3</v>
      </c>
      <c r="H85" s="204"/>
      <c r="I85" s="205">
        <f t="shared" si="4"/>
        <v>1.2623021273914135E-3</v>
      </c>
      <c r="K85" s="29" t="e">
        <f>(+E85-#REF!)/#REF!</f>
        <v>#REF!</v>
      </c>
    </row>
    <row r="86" spans="1:11" x14ac:dyDescent="0.25">
      <c r="A86" s="199" t="s">
        <v>68</v>
      </c>
      <c r="B86" s="241"/>
      <c r="C86" s="207">
        <v>1046372</v>
      </c>
      <c r="D86" s="207"/>
      <c r="E86" s="207">
        <v>2517873</v>
      </c>
      <c r="F86" s="211"/>
      <c r="G86" s="203">
        <f t="shared" si="3"/>
        <v>1.4062885857037459</v>
      </c>
      <c r="H86" s="204"/>
      <c r="I86" s="205">
        <f t="shared" si="4"/>
        <v>5.0507992505623989E-3</v>
      </c>
      <c r="K86" s="29" t="e">
        <f>(+E86-#REF!)/#REF!</f>
        <v>#REF!</v>
      </c>
    </row>
    <row r="87" spans="1:11" x14ac:dyDescent="0.25">
      <c r="A87" s="199" t="s">
        <v>56</v>
      </c>
      <c r="B87" s="241"/>
      <c r="C87" s="207">
        <v>2043250</v>
      </c>
      <c r="D87" s="207"/>
      <c r="E87" s="207">
        <v>2218215</v>
      </c>
      <c r="F87" s="211"/>
      <c r="G87" s="203">
        <f t="shared" si="3"/>
        <v>8.5630735348097398E-2</v>
      </c>
      <c r="H87" s="204"/>
      <c r="I87" s="205">
        <f t="shared" si="4"/>
        <v>4.4496917277345883E-3</v>
      </c>
      <c r="K87" s="29" t="e">
        <f>(+E87-#REF!)/#REF!</f>
        <v>#REF!</v>
      </c>
    </row>
    <row r="88" spans="1:11" hidden="1" x14ac:dyDescent="0.25">
      <c r="A88" s="199" t="s">
        <v>57</v>
      </c>
      <c r="B88" s="241"/>
      <c r="C88" s="207">
        <v>0</v>
      </c>
      <c r="D88" s="207"/>
      <c r="E88" s="207">
        <v>0</v>
      </c>
      <c r="F88" s="211"/>
      <c r="G88" s="203" t="e">
        <f t="shared" si="3"/>
        <v>#DIV/0!</v>
      </c>
      <c r="H88" s="204"/>
      <c r="I88" s="205">
        <f t="shared" si="4"/>
        <v>0</v>
      </c>
      <c r="K88" s="29" t="e">
        <f>(+E88-#REF!)/#REF!</f>
        <v>#REF!</v>
      </c>
    </row>
    <row r="89" spans="1:11" x14ac:dyDescent="0.25">
      <c r="A89" s="216" t="s">
        <v>77</v>
      </c>
      <c r="B89" s="217"/>
      <c r="C89" s="210">
        <f>SUM(C84:C88)</f>
        <v>10229027</v>
      </c>
      <c r="D89" s="211"/>
      <c r="E89" s="210">
        <f>SUM(E84:E88)</f>
        <v>11491934</v>
      </c>
      <c r="F89" s="211"/>
      <c r="G89" s="212">
        <f t="shared" si="3"/>
        <v>0.12346306251806746</v>
      </c>
      <c r="H89" s="204"/>
      <c r="I89" s="213">
        <f t="shared" si="4"/>
        <v>2.3052573197580875E-2</v>
      </c>
      <c r="K89" s="29" t="e">
        <f>(+E89-#REF!)/#REF!</f>
        <v>#REF!</v>
      </c>
    </row>
    <row r="90" spans="1:11" x14ac:dyDescent="0.25">
      <c r="A90" s="241"/>
      <c r="B90" s="241"/>
      <c r="C90" s="215"/>
      <c r="D90" s="215"/>
      <c r="E90" s="215"/>
      <c r="F90" s="227"/>
      <c r="G90" s="203"/>
      <c r="H90" s="204"/>
      <c r="I90" s="205"/>
      <c r="K90" s="29"/>
    </row>
    <row r="91" spans="1:11" x14ac:dyDescent="0.25">
      <c r="A91" s="193" t="s">
        <v>78</v>
      </c>
      <c r="B91" s="241"/>
      <c r="C91" s="215"/>
      <c r="D91" s="215"/>
      <c r="E91" s="215"/>
      <c r="F91" s="227"/>
      <c r="G91" s="203"/>
      <c r="H91" s="204"/>
      <c r="I91" s="205"/>
      <c r="K91" s="29"/>
    </row>
    <row r="92" spans="1:11" x14ac:dyDescent="0.25">
      <c r="A92" s="199" t="s">
        <v>53</v>
      </c>
      <c r="B92" s="241"/>
      <c r="C92" s="207">
        <v>7905696</v>
      </c>
      <c r="D92" s="207"/>
      <c r="E92" s="207">
        <v>8200701</v>
      </c>
      <c r="F92" s="211"/>
      <c r="G92" s="203">
        <f>(+E92-C92)/C92</f>
        <v>3.7315500115359862E-2</v>
      </c>
      <c r="H92" s="204"/>
      <c r="I92" s="205">
        <f>+E92/E$162</f>
        <v>1.645043036915933E-2</v>
      </c>
      <c r="K92" s="29" t="e">
        <f>(+E92-#REF!)/#REF!</f>
        <v>#REF!</v>
      </c>
    </row>
    <row r="93" spans="1:11" x14ac:dyDescent="0.25">
      <c r="A93" s="199" t="s">
        <v>54</v>
      </c>
      <c r="B93" s="241"/>
      <c r="C93" s="207">
        <v>1626008</v>
      </c>
      <c r="D93" s="207"/>
      <c r="E93" s="207">
        <v>1627640</v>
      </c>
      <c r="F93" s="211"/>
      <c r="G93" s="203">
        <f>(+E93-C93)/C93</f>
        <v>1.0036850987203015E-3</v>
      </c>
      <c r="H93" s="204"/>
      <c r="I93" s="205">
        <f>+E93/E$162</f>
        <v>3.2650109406572067E-3</v>
      </c>
      <c r="K93" s="29" t="e">
        <f>(+E93-#REF!)/#REF!</f>
        <v>#REF!</v>
      </c>
    </row>
    <row r="94" spans="1:11" x14ac:dyDescent="0.25">
      <c r="A94" s="199" t="s">
        <v>68</v>
      </c>
      <c r="B94" s="241"/>
      <c r="C94" s="207">
        <v>417250</v>
      </c>
      <c r="D94" s="207"/>
      <c r="E94" s="207">
        <v>351269</v>
      </c>
      <c r="F94" s="211"/>
      <c r="G94" s="203">
        <f>(+E94-C94)/C94</f>
        <v>-0.15813301378070702</v>
      </c>
      <c r="H94" s="204"/>
      <c r="I94" s="205">
        <f>+E94/E$162</f>
        <v>7.0463808220104951E-4</v>
      </c>
      <c r="K94" s="29" t="e">
        <f>(+E94-#REF!)/#REF!</f>
        <v>#REF!</v>
      </c>
    </row>
    <row r="95" spans="1:11" x14ac:dyDescent="0.25">
      <c r="A95" s="199" t="s">
        <v>56</v>
      </c>
      <c r="B95" s="241"/>
      <c r="C95" s="207">
        <v>790744</v>
      </c>
      <c r="D95" s="207"/>
      <c r="E95" s="207">
        <v>1084864</v>
      </c>
      <c r="F95" s="211"/>
      <c r="G95" s="203">
        <f>(+E95-C95)/C95</f>
        <v>0.37195350201835231</v>
      </c>
      <c r="H95" s="204"/>
      <c r="I95" s="205">
        <f>+E95/E$162</f>
        <v>2.1762139226887641E-3</v>
      </c>
      <c r="K95" s="29" t="e">
        <f>(+E95-#REF!)/#REF!</f>
        <v>#REF!</v>
      </c>
    </row>
    <row r="96" spans="1:11" x14ac:dyDescent="0.25">
      <c r="A96" s="216" t="s">
        <v>79</v>
      </c>
      <c r="B96" s="217"/>
      <c r="C96" s="210">
        <f>SUM(C92:C95)</f>
        <v>10739698</v>
      </c>
      <c r="D96" s="211"/>
      <c r="E96" s="210">
        <f>SUM(E92:E95)</f>
        <v>11264474</v>
      </c>
      <c r="F96" s="211"/>
      <c r="G96" s="212">
        <f>(+E96-C96)/C96</f>
        <v>4.8863198946562554E-2</v>
      </c>
      <c r="H96" s="204"/>
      <c r="I96" s="213">
        <f>+E96/E$162</f>
        <v>2.2596293314706351E-2</v>
      </c>
      <c r="K96" s="29" t="e">
        <f>(+E96-#REF!)/#REF!</f>
        <v>#REF!</v>
      </c>
    </row>
    <row r="97" spans="1:11" x14ac:dyDescent="0.25">
      <c r="A97" s="241"/>
      <c r="B97" s="241"/>
      <c r="C97" s="218"/>
      <c r="D97" s="218"/>
      <c r="E97" s="218"/>
      <c r="F97" s="221"/>
      <c r="G97" s="228"/>
      <c r="H97" s="229"/>
      <c r="I97" s="230"/>
      <c r="K97" s="35"/>
    </row>
    <row r="98" spans="1:11" x14ac:dyDescent="0.25">
      <c r="A98" s="193" t="s">
        <v>199</v>
      </c>
      <c r="B98" s="241"/>
      <c r="C98" s="215"/>
      <c r="D98" s="215"/>
      <c r="E98" s="215"/>
      <c r="F98" s="227"/>
      <c r="G98" s="222"/>
      <c r="H98" s="223"/>
      <c r="I98" s="224"/>
      <c r="K98" s="34"/>
    </row>
    <row r="99" spans="1:11" x14ac:dyDescent="0.25">
      <c r="A99" s="199" t="s">
        <v>80</v>
      </c>
      <c r="B99" s="241"/>
      <c r="C99" s="207">
        <v>8439716</v>
      </c>
      <c r="D99" s="207"/>
      <c r="E99" s="207">
        <v>8333607</v>
      </c>
      <c r="F99" s="211"/>
      <c r="G99" s="203">
        <f t="shared" ref="G99:G104" si="5">(+E99-C99)/C99</f>
        <v>-1.2572579456465123E-2</v>
      </c>
      <c r="H99" s="204"/>
      <c r="I99" s="205">
        <f t="shared" ref="I99:I104" si="6">+E99/E$162</f>
        <v>1.6717036955430857E-2</v>
      </c>
      <c r="K99" s="29" t="e">
        <f>(+E99-#REF!)/#REF!</f>
        <v>#REF!</v>
      </c>
    </row>
    <row r="100" spans="1:11" x14ac:dyDescent="0.25">
      <c r="A100" s="199" t="s">
        <v>54</v>
      </c>
      <c r="B100" s="241"/>
      <c r="C100" s="207">
        <v>28781692</v>
      </c>
      <c r="D100" s="207"/>
      <c r="E100" s="207">
        <v>31531239</v>
      </c>
      <c r="F100" s="211"/>
      <c r="G100" s="203">
        <f t="shared" si="5"/>
        <v>9.5531110540686762E-2</v>
      </c>
      <c r="H100" s="204"/>
      <c r="I100" s="205">
        <f t="shared" si="6"/>
        <v>6.3250989351132436E-2</v>
      </c>
      <c r="K100" s="29" t="e">
        <f>(+E100-#REF!)/#REF!</f>
        <v>#REF!</v>
      </c>
    </row>
    <row r="101" spans="1:11" x14ac:dyDescent="0.25">
      <c r="A101" s="199" t="s">
        <v>68</v>
      </c>
      <c r="B101" s="241"/>
      <c r="C101" s="207">
        <v>2468687</v>
      </c>
      <c r="D101" s="207"/>
      <c r="E101" s="207">
        <v>2488772</v>
      </c>
      <c r="F101" s="211"/>
      <c r="G101" s="203">
        <f t="shared" si="5"/>
        <v>8.1359038225583078E-3</v>
      </c>
      <c r="H101" s="204"/>
      <c r="I101" s="205">
        <f t="shared" si="6"/>
        <v>4.9924232685368492E-3</v>
      </c>
      <c r="K101" s="29" t="e">
        <f>(+E101-#REF!)/#REF!</f>
        <v>#REF!</v>
      </c>
    </row>
    <row r="102" spans="1:11" x14ac:dyDescent="0.25">
      <c r="A102" s="199" t="s">
        <v>56</v>
      </c>
      <c r="B102" s="241"/>
      <c r="C102" s="207">
        <v>1110738</v>
      </c>
      <c r="D102" s="207"/>
      <c r="E102" s="207">
        <v>1382860</v>
      </c>
      <c r="F102" s="211"/>
      <c r="G102" s="203">
        <f t="shared" si="5"/>
        <v>0.24499206833654741</v>
      </c>
      <c r="H102" s="204"/>
      <c r="I102" s="205">
        <f t="shared" si="6"/>
        <v>2.7739875091526531E-3</v>
      </c>
      <c r="K102" s="29" t="e">
        <f>(+E102-#REF!)/#REF!</f>
        <v>#REF!</v>
      </c>
    </row>
    <row r="103" spans="1:11" x14ac:dyDescent="0.25">
      <c r="A103" s="199" t="s">
        <v>57</v>
      </c>
      <c r="B103" s="241"/>
      <c r="C103" s="207">
        <v>285000</v>
      </c>
      <c r="D103" s="207"/>
      <c r="E103" s="207">
        <v>210000</v>
      </c>
      <c r="F103" s="211"/>
      <c r="G103" s="203">
        <f t="shared" si="5"/>
        <v>-0.26315789473684209</v>
      </c>
      <c r="H103" s="204"/>
      <c r="I103" s="205">
        <f t="shared" si="6"/>
        <v>4.2125549724632803E-4</v>
      </c>
      <c r="K103" s="29" t="e">
        <f>(+E103-#REF!)/#REF!</f>
        <v>#REF!</v>
      </c>
    </row>
    <row r="104" spans="1:11" x14ac:dyDescent="0.25">
      <c r="A104" s="216" t="s">
        <v>81</v>
      </c>
      <c r="B104" s="217"/>
      <c r="C104" s="210">
        <f>SUM(C99:C103)</f>
        <v>41085833</v>
      </c>
      <c r="D104" s="211"/>
      <c r="E104" s="210">
        <f>SUM(E99:E103)</f>
        <v>43946478</v>
      </c>
      <c r="F104" s="211"/>
      <c r="G104" s="212">
        <f t="shared" si="5"/>
        <v>6.9626067944149994E-2</v>
      </c>
      <c r="H104" s="204"/>
      <c r="I104" s="213">
        <f t="shared" si="6"/>
        <v>8.815569258149912E-2</v>
      </c>
      <c r="K104" s="29" t="e">
        <f>(+E104-#REF!)/#REF!</f>
        <v>#REF!</v>
      </c>
    </row>
    <row r="105" spans="1:11" x14ac:dyDescent="0.25">
      <c r="A105" s="241"/>
      <c r="B105" s="241"/>
      <c r="C105" s="194"/>
      <c r="D105" s="194"/>
      <c r="E105" s="194"/>
      <c r="F105" s="195"/>
      <c r="G105" s="203"/>
      <c r="H105" s="204"/>
      <c r="I105" s="205"/>
      <c r="K105" s="29"/>
    </row>
    <row r="106" spans="1:11" x14ac:dyDescent="0.25">
      <c r="A106" s="314" t="s">
        <v>0</v>
      </c>
      <c r="B106" s="314"/>
      <c r="C106" s="314"/>
      <c r="D106" s="314"/>
      <c r="E106" s="314"/>
      <c r="F106" s="314"/>
      <c r="G106" s="314"/>
      <c r="H106" s="314"/>
      <c r="I106" s="314"/>
      <c r="K106"/>
    </row>
    <row r="107" spans="1:11" x14ac:dyDescent="0.25">
      <c r="A107" s="314" t="str">
        <f>+A2</f>
        <v>General Fund</v>
      </c>
      <c r="B107" s="314"/>
      <c r="C107" s="314"/>
      <c r="D107" s="314"/>
      <c r="E107" s="314"/>
      <c r="F107" s="314"/>
      <c r="G107" s="314"/>
      <c r="H107" s="314"/>
      <c r="I107" s="314"/>
      <c r="K107"/>
    </row>
    <row r="108" spans="1:11" x14ac:dyDescent="0.25">
      <c r="A108" s="311" t="s">
        <v>47</v>
      </c>
      <c r="B108" s="311"/>
      <c r="C108" s="311"/>
      <c r="D108" s="311"/>
      <c r="E108" s="311"/>
      <c r="F108" s="311"/>
      <c r="G108" s="311"/>
      <c r="H108" s="311"/>
      <c r="I108" s="311"/>
      <c r="K108"/>
    </row>
    <row r="109" spans="1:11" x14ac:dyDescent="0.25">
      <c r="A109" s="311"/>
      <c r="B109" s="311"/>
      <c r="C109" s="311"/>
      <c r="D109" s="311"/>
      <c r="E109" s="311"/>
      <c r="F109" s="311"/>
      <c r="G109" s="311"/>
      <c r="H109" s="311"/>
      <c r="I109" s="311"/>
      <c r="K109"/>
    </row>
    <row r="110" spans="1:11" x14ac:dyDescent="0.25">
      <c r="A110" s="241"/>
      <c r="B110" s="241"/>
      <c r="C110" s="182" t="str">
        <f>+C5</f>
        <v>General Fund</v>
      </c>
      <c r="D110" s="182"/>
      <c r="E110" s="182" t="str">
        <f>+E5</f>
        <v>General Fund</v>
      </c>
      <c r="F110" s="183"/>
      <c r="G110" s="184" t="s">
        <v>48</v>
      </c>
      <c r="H110" s="185"/>
      <c r="I110" s="186"/>
      <c r="K110" s="31" t="s">
        <v>48</v>
      </c>
    </row>
    <row r="111" spans="1:11" x14ac:dyDescent="0.25">
      <c r="A111" s="241"/>
      <c r="B111" s="241"/>
      <c r="C111" s="182" t="str">
        <f>+C6</f>
        <v>Adopted Budget</v>
      </c>
      <c r="D111" s="187"/>
      <c r="E111" s="182" t="str">
        <f>+E6</f>
        <v>Proposed Budget</v>
      </c>
      <c r="F111" s="188"/>
      <c r="G111" s="184" t="s">
        <v>49</v>
      </c>
      <c r="H111" s="185"/>
      <c r="I111" s="189" t="s">
        <v>48</v>
      </c>
      <c r="K111" s="31" t="s">
        <v>49</v>
      </c>
    </row>
    <row r="112" spans="1:11" x14ac:dyDescent="0.25">
      <c r="A112" s="241"/>
      <c r="B112" s="241"/>
      <c r="C112" s="226" t="str">
        <f>+C7</f>
        <v>FY 2017-18</v>
      </c>
      <c r="D112" s="188"/>
      <c r="E112" s="226" t="str">
        <f>+E7</f>
        <v>FY 2018-19</v>
      </c>
      <c r="F112" s="188"/>
      <c r="G112" s="191" t="s">
        <v>50</v>
      </c>
      <c r="H112" s="185"/>
      <c r="I112" s="192" t="s">
        <v>51</v>
      </c>
      <c r="K112" s="32" t="s">
        <v>50</v>
      </c>
    </row>
    <row r="113" spans="1:11" x14ac:dyDescent="0.25">
      <c r="A113" s="193" t="s">
        <v>82</v>
      </c>
      <c r="B113" s="241"/>
      <c r="C113" s="194"/>
      <c r="D113" s="194"/>
      <c r="E113" s="194"/>
      <c r="F113" s="195"/>
      <c r="G113" s="203"/>
      <c r="H113" s="204"/>
      <c r="I113" s="205"/>
      <c r="K113" s="29"/>
    </row>
    <row r="114" spans="1:11" x14ac:dyDescent="0.25">
      <c r="A114" s="199" t="s">
        <v>80</v>
      </c>
      <c r="B114" s="241"/>
      <c r="C114" s="201">
        <v>773734</v>
      </c>
      <c r="D114" s="201"/>
      <c r="E114" s="201">
        <v>810323</v>
      </c>
      <c r="F114" s="211"/>
      <c r="G114" s="203">
        <f>(+E114-C114)/C114</f>
        <v>4.7288861546733112E-2</v>
      </c>
      <c r="H114" s="204"/>
      <c r="I114" s="205">
        <f t="shared" ref="I114:I119" si="7">+E114/E$162</f>
        <v>1.6254905633101726E-3</v>
      </c>
      <c r="K114" s="29" t="e">
        <f>(+E114-#REF!)/#REF!</f>
        <v>#REF!</v>
      </c>
    </row>
    <row r="115" spans="1:11" x14ac:dyDescent="0.25">
      <c r="A115" s="199" t="s">
        <v>54</v>
      </c>
      <c r="B115" s="241"/>
      <c r="C115" s="207">
        <v>1101025</v>
      </c>
      <c r="D115" s="207"/>
      <c r="E115" s="207">
        <v>1816449</v>
      </c>
      <c r="F115" s="211"/>
      <c r="G115" s="203">
        <f>(+E115-C115)/C115</f>
        <v>0.64977997774800755</v>
      </c>
      <c r="H115" s="204"/>
      <c r="I115" s="205">
        <f t="shared" si="7"/>
        <v>3.6437577462742634E-3</v>
      </c>
      <c r="K115" s="29" t="e">
        <f>(+E115-#REF!)/#REF!</f>
        <v>#REF!</v>
      </c>
    </row>
    <row r="116" spans="1:11" x14ac:dyDescent="0.25">
      <c r="A116" s="199" t="s">
        <v>68</v>
      </c>
      <c r="B116" s="241"/>
      <c r="C116" s="207">
        <v>111700</v>
      </c>
      <c r="D116" s="207"/>
      <c r="E116" s="207">
        <v>123747</v>
      </c>
      <c r="F116" s="211"/>
      <c r="G116" s="203">
        <f>(+E116-C116)/C116</f>
        <v>0.10785138764547895</v>
      </c>
      <c r="H116" s="204"/>
      <c r="I116" s="205">
        <f t="shared" si="7"/>
        <v>2.4823382865591124E-4</v>
      </c>
      <c r="K116" s="29" t="e">
        <f>(+E116-#REF!)/#REF!</f>
        <v>#REF!</v>
      </c>
    </row>
    <row r="117" spans="1:11" s="66" customFormat="1" x14ac:dyDescent="0.25">
      <c r="A117" s="199" t="s">
        <v>56</v>
      </c>
      <c r="B117" s="241"/>
      <c r="C117" s="207">
        <v>15350</v>
      </c>
      <c r="D117" s="207"/>
      <c r="E117" s="207">
        <v>13350</v>
      </c>
      <c r="F117" s="211"/>
      <c r="G117" s="203">
        <f>(+E117-C117)/C117</f>
        <v>-0.13029315960912052</v>
      </c>
      <c r="H117" s="204"/>
      <c r="I117" s="205">
        <f t="shared" si="7"/>
        <v>2.6779813753516569E-5</v>
      </c>
      <c r="K117" s="29"/>
    </row>
    <row r="118" spans="1:11" s="66" customFormat="1" x14ac:dyDescent="0.25">
      <c r="A118" s="199" t="s">
        <v>57</v>
      </c>
      <c r="B118" s="241"/>
      <c r="C118" s="302">
        <v>0</v>
      </c>
      <c r="D118" s="302"/>
      <c r="E118" s="302">
        <v>0</v>
      </c>
      <c r="F118" s="211"/>
      <c r="G118" s="203" t="str">
        <f>IF(C118=0,"n/a",(+E118-C118)/C118)</f>
        <v>n/a</v>
      </c>
      <c r="H118" s="204"/>
      <c r="I118" s="205">
        <f t="shared" si="7"/>
        <v>0</v>
      </c>
      <c r="K118" s="29"/>
    </row>
    <row r="119" spans="1:11" x14ac:dyDescent="0.25">
      <c r="A119" s="216" t="s">
        <v>83</v>
      </c>
      <c r="B119" s="217"/>
      <c r="C119" s="210">
        <f>SUM(C114:C118)</f>
        <v>2001809</v>
      </c>
      <c r="D119" s="211"/>
      <c r="E119" s="210">
        <f>SUM(E114:E118)</f>
        <v>2763869</v>
      </c>
      <c r="F119" s="211"/>
      <c r="G119" s="212">
        <f>(+E119-C119)/C119</f>
        <v>0.38068566981165536</v>
      </c>
      <c r="H119" s="204"/>
      <c r="I119" s="213">
        <f t="shared" si="7"/>
        <v>5.5442619519938639E-3</v>
      </c>
      <c r="K119" s="29" t="e">
        <f>(+E119-#REF!)/#REF!</f>
        <v>#REF!</v>
      </c>
    </row>
    <row r="120" spans="1:11" x14ac:dyDescent="0.25">
      <c r="A120" s="241"/>
      <c r="B120" s="242"/>
      <c r="C120" s="215"/>
      <c r="D120" s="215"/>
      <c r="E120" s="215"/>
      <c r="F120" s="227"/>
      <c r="G120" s="203"/>
      <c r="H120" s="204"/>
      <c r="I120" s="205"/>
      <c r="K120" s="29"/>
    </row>
    <row r="121" spans="1:11" x14ac:dyDescent="0.25">
      <c r="A121" s="193" t="s">
        <v>84</v>
      </c>
      <c r="B121" s="242"/>
      <c r="C121" s="215"/>
      <c r="D121" s="215"/>
      <c r="E121" s="215"/>
      <c r="F121" s="227"/>
      <c r="G121" s="203"/>
      <c r="H121" s="204"/>
      <c r="I121" s="205"/>
      <c r="K121" s="29"/>
    </row>
    <row r="122" spans="1:11" x14ac:dyDescent="0.25">
      <c r="A122" s="199" t="s">
        <v>80</v>
      </c>
      <c r="B122" s="242"/>
      <c r="C122" s="207">
        <v>7385826</v>
      </c>
      <c r="D122" s="207"/>
      <c r="E122" s="207">
        <v>7232547</v>
      </c>
      <c r="F122" s="211"/>
      <c r="G122" s="203">
        <f>(+E122-C122)/C122</f>
        <v>-2.0753129033909003E-2</v>
      </c>
      <c r="H122" s="204"/>
      <c r="I122" s="205">
        <f t="shared" ref="I122:I127" si="8">+E122/E$162</f>
        <v>1.4508334204011611E-2</v>
      </c>
      <c r="K122" s="29" t="e">
        <f>(+E122-#REF!)/#REF!</f>
        <v>#REF!</v>
      </c>
    </row>
    <row r="123" spans="1:11" x14ac:dyDescent="0.25">
      <c r="A123" s="199" t="s">
        <v>54</v>
      </c>
      <c r="B123" s="242"/>
      <c r="C123" s="207">
        <v>3621815</v>
      </c>
      <c r="D123" s="207"/>
      <c r="E123" s="207">
        <v>4692496</v>
      </c>
      <c r="F123" s="211"/>
      <c r="G123" s="203">
        <f>(+E123-C123)/C123</f>
        <v>0.2956200137224016</v>
      </c>
      <c r="H123" s="204"/>
      <c r="I123" s="205">
        <f t="shared" si="8"/>
        <v>9.413046360982882E-3</v>
      </c>
      <c r="K123" s="29" t="e">
        <f>(+E123-#REF!)/#REF!</f>
        <v>#REF!</v>
      </c>
    </row>
    <row r="124" spans="1:11" x14ac:dyDescent="0.25">
      <c r="A124" s="199" t="s">
        <v>68</v>
      </c>
      <c r="B124" s="242"/>
      <c r="C124" s="207">
        <v>268050</v>
      </c>
      <c r="D124" s="207"/>
      <c r="E124" s="207">
        <v>268050</v>
      </c>
      <c r="F124" s="211"/>
      <c r="G124" s="203">
        <f>(+E124-C124)/C124</f>
        <v>0</v>
      </c>
      <c r="H124" s="204"/>
      <c r="I124" s="205">
        <f t="shared" si="8"/>
        <v>5.3770255255656304E-4</v>
      </c>
      <c r="K124" s="29" t="e">
        <f>(+E124-#REF!)/#REF!</f>
        <v>#REF!</v>
      </c>
    </row>
    <row r="125" spans="1:11" x14ac:dyDescent="0.25">
      <c r="A125" s="199" t="s">
        <v>56</v>
      </c>
      <c r="B125" s="242"/>
      <c r="C125" s="207">
        <v>116498</v>
      </c>
      <c r="D125" s="207"/>
      <c r="E125" s="207">
        <v>101198</v>
      </c>
      <c r="F125" s="211"/>
      <c r="G125" s="203">
        <f>(+E125-C125)/C125</f>
        <v>-0.13133272674208998</v>
      </c>
      <c r="H125" s="204"/>
      <c r="I125" s="205">
        <f t="shared" si="8"/>
        <v>2.0300101814444717E-4</v>
      </c>
      <c r="K125" s="29" t="e">
        <f>(+E125-#REF!)/#REF!</f>
        <v>#REF!</v>
      </c>
    </row>
    <row r="126" spans="1:11" hidden="1" x14ac:dyDescent="0.25">
      <c r="A126" s="199" t="s">
        <v>57</v>
      </c>
      <c r="B126" s="242"/>
      <c r="C126" s="207">
        <v>0</v>
      </c>
      <c r="D126" s="207"/>
      <c r="E126" s="207">
        <v>0</v>
      </c>
      <c r="F126" s="211"/>
      <c r="G126" s="203">
        <v>0</v>
      </c>
      <c r="H126" s="204"/>
      <c r="I126" s="205">
        <f t="shared" si="8"/>
        <v>0</v>
      </c>
      <c r="K126" s="29" t="e">
        <f>(+E126-#REF!)/#REF!</f>
        <v>#REF!</v>
      </c>
    </row>
    <row r="127" spans="1:11" x14ac:dyDescent="0.25">
      <c r="A127" s="216" t="s">
        <v>85</v>
      </c>
      <c r="B127" s="217"/>
      <c r="C127" s="210">
        <f>SUM(C122:C126)</f>
        <v>11392189</v>
      </c>
      <c r="D127" s="211"/>
      <c r="E127" s="210">
        <f>SUM(E122:E126)</f>
        <v>12294291</v>
      </c>
      <c r="F127" s="211"/>
      <c r="G127" s="212">
        <f>(+E127-C127)/C127</f>
        <v>7.9186010695573961E-2</v>
      </c>
      <c r="H127" s="204"/>
      <c r="I127" s="213">
        <f t="shared" si="8"/>
        <v>2.4662084135695504E-2</v>
      </c>
      <c r="K127" s="29" t="e">
        <f>(+E127-#REF!)/#REF!</f>
        <v>#REF!</v>
      </c>
    </row>
    <row r="128" spans="1:11" x14ac:dyDescent="0.25">
      <c r="A128" s="241"/>
      <c r="B128" s="242"/>
      <c r="C128" s="215"/>
      <c r="D128" s="215"/>
      <c r="E128" s="215"/>
      <c r="F128" s="227"/>
      <c r="G128" s="203"/>
      <c r="H128" s="204"/>
      <c r="I128" s="205"/>
      <c r="K128" s="29"/>
    </row>
    <row r="129" spans="1:11" x14ac:dyDescent="0.25">
      <c r="A129" s="193" t="s">
        <v>86</v>
      </c>
      <c r="B129" s="242"/>
      <c r="C129" s="215"/>
      <c r="D129" s="215"/>
      <c r="E129" s="215"/>
      <c r="F129" s="227"/>
      <c r="G129" s="203"/>
      <c r="H129" s="204"/>
      <c r="I129" s="205"/>
      <c r="K129" s="29"/>
    </row>
    <row r="130" spans="1:11" x14ac:dyDescent="0.25">
      <c r="A130" s="199" t="s">
        <v>80</v>
      </c>
      <c r="B130" s="242"/>
      <c r="C130" s="207">
        <v>6486710</v>
      </c>
      <c r="D130" s="207"/>
      <c r="E130" s="207">
        <v>4933096</v>
      </c>
      <c r="F130" s="211"/>
      <c r="G130" s="203">
        <f>(+E130-C130)/C130</f>
        <v>-0.23950723864640164</v>
      </c>
      <c r="H130" s="204"/>
      <c r="I130" s="205">
        <f>+E130/E$162</f>
        <v>9.8956848021136759E-3</v>
      </c>
      <c r="K130" s="29" t="e">
        <f>(+E130-#REF!)/#REF!</f>
        <v>#REF!</v>
      </c>
    </row>
    <row r="131" spans="1:11" x14ac:dyDescent="0.25">
      <c r="A131" s="199" t="s">
        <v>54</v>
      </c>
      <c r="B131" s="242"/>
      <c r="C131" s="207">
        <v>511994</v>
      </c>
      <c r="D131" s="207"/>
      <c r="E131" s="207">
        <v>525444</v>
      </c>
      <c r="F131" s="211"/>
      <c r="G131" s="203">
        <f>(+E131-C131)/C131</f>
        <v>2.626983909967695E-2</v>
      </c>
      <c r="H131" s="204"/>
      <c r="I131" s="205">
        <f>+E131/E$162</f>
        <v>1.0540293975957124E-3</v>
      </c>
      <c r="K131" s="29" t="e">
        <f>(+E131-#REF!)/#REF!</f>
        <v>#REF!</v>
      </c>
    </row>
    <row r="132" spans="1:11" x14ac:dyDescent="0.25">
      <c r="A132" s="199" t="s">
        <v>68</v>
      </c>
      <c r="B132" s="242"/>
      <c r="C132" s="207">
        <v>385241</v>
      </c>
      <c r="D132" s="207"/>
      <c r="E132" s="207">
        <v>468079</v>
      </c>
      <c r="F132" s="211"/>
      <c r="G132" s="203">
        <f>(+E132-C132)/C132</f>
        <v>0.21502903377366375</v>
      </c>
      <c r="H132" s="204"/>
      <c r="I132" s="205">
        <f>+E132/E$162</f>
        <v>9.3895643759792373E-4</v>
      </c>
      <c r="K132" s="29" t="e">
        <f>(+E132-#REF!)/#REF!</f>
        <v>#REF!</v>
      </c>
    </row>
    <row r="133" spans="1:11" x14ac:dyDescent="0.25">
      <c r="A133" s="199" t="s">
        <v>56</v>
      </c>
      <c r="B133" s="242"/>
      <c r="C133" s="207">
        <v>558348</v>
      </c>
      <c r="D133" s="207"/>
      <c r="E133" s="207">
        <v>570208</v>
      </c>
      <c r="F133" s="211"/>
      <c r="G133" s="203">
        <f>(+E133-C133)/C133</f>
        <v>2.1241233066116472E-2</v>
      </c>
      <c r="H133" s="204"/>
      <c r="I133" s="205">
        <f>+E133/E$162</f>
        <v>1.143825021780163E-3</v>
      </c>
      <c r="K133" s="29" t="e">
        <f>(+E133-#REF!)/#REF!</f>
        <v>#REF!</v>
      </c>
    </row>
    <row r="134" spans="1:11" x14ac:dyDescent="0.25">
      <c r="A134" s="216" t="s">
        <v>87</v>
      </c>
      <c r="B134" s="217"/>
      <c r="C134" s="210">
        <f>SUM(C130:C133)</f>
        <v>7942293</v>
      </c>
      <c r="D134" s="211"/>
      <c r="E134" s="210">
        <f>SUM(E130:E133)</f>
        <v>6496827</v>
      </c>
      <c r="F134" s="211"/>
      <c r="G134" s="212">
        <f>(+E134-C134)/C134</f>
        <v>-0.18199605579899911</v>
      </c>
      <c r="H134" s="204"/>
      <c r="I134" s="213">
        <f>+E134/E$162</f>
        <v>1.3032495659087474E-2</v>
      </c>
      <c r="K134" s="29" t="e">
        <f>(+E134-#REF!)/#REF!</f>
        <v>#REF!</v>
      </c>
    </row>
    <row r="135" spans="1:11" s="66" customFormat="1" x14ac:dyDescent="0.25">
      <c r="A135" s="216"/>
      <c r="B135" s="217"/>
      <c r="C135" s="211"/>
      <c r="D135" s="211"/>
      <c r="E135" s="211"/>
      <c r="F135" s="211"/>
      <c r="G135" s="204"/>
      <c r="H135" s="204"/>
      <c r="I135" s="214"/>
      <c r="K135" s="29"/>
    </row>
    <row r="136" spans="1:11" s="66" customFormat="1" x14ac:dyDescent="0.25">
      <c r="A136" s="193" t="s">
        <v>163</v>
      </c>
      <c r="B136" s="242"/>
      <c r="C136" s="207"/>
      <c r="D136" s="207"/>
      <c r="E136" s="207"/>
      <c r="F136" s="211"/>
      <c r="G136" s="203"/>
      <c r="H136" s="204"/>
      <c r="I136" s="232"/>
      <c r="K136" s="29"/>
    </row>
    <row r="137" spans="1:11" s="66" customFormat="1" hidden="1" x14ac:dyDescent="0.25">
      <c r="A137" s="199" t="s">
        <v>53</v>
      </c>
      <c r="B137" s="242"/>
      <c r="C137" s="207">
        <v>0</v>
      </c>
      <c r="D137" s="207"/>
      <c r="E137" s="207">
        <v>0</v>
      </c>
      <c r="F137" s="211"/>
      <c r="G137" s="203" t="e">
        <f>(+E137-C137)/C137</f>
        <v>#DIV/0!</v>
      </c>
      <c r="H137" s="204"/>
      <c r="I137" s="205">
        <f>+E137/E$162</f>
        <v>0</v>
      </c>
      <c r="K137" s="29" t="e">
        <f>(+E137-#REF!)/#REF!</f>
        <v>#REF!</v>
      </c>
    </row>
    <row r="138" spans="1:11" s="66" customFormat="1" x14ac:dyDescent="0.25">
      <c r="A138" s="199" t="s">
        <v>164</v>
      </c>
      <c r="B138" s="242"/>
      <c r="C138" s="207">
        <v>658426</v>
      </c>
      <c r="D138" s="207"/>
      <c r="E138" s="302">
        <v>0</v>
      </c>
      <c r="F138" s="211"/>
      <c r="G138" s="203">
        <f>(+E138-C138)/C138</f>
        <v>-1</v>
      </c>
      <c r="H138" s="204"/>
      <c r="I138" s="205">
        <f>+E138/E$162</f>
        <v>0</v>
      </c>
      <c r="K138" s="29" t="e">
        <f>(+E138-#REF!)/#REF!</f>
        <v>#REF!</v>
      </c>
    </row>
    <row r="139" spans="1:11" s="66" customFormat="1" x14ac:dyDescent="0.25">
      <c r="A139" s="216" t="s">
        <v>171</v>
      </c>
      <c r="B139" s="217"/>
      <c r="C139" s="210">
        <f>SUM(C137:C138)</f>
        <v>658426</v>
      </c>
      <c r="D139" s="211"/>
      <c r="E139" s="303">
        <f>SUM(E137:E138)</f>
        <v>0</v>
      </c>
      <c r="F139" s="211"/>
      <c r="G139" s="212">
        <f>(+E139-C139)/C139</f>
        <v>-1</v>
      </c>
      <c r="H139" s="204"/>
      <c r="I139" s="213">
        <f>+E139/E$162</f>
        <v>0</v>
      </c>
      <c r="K139" s="29" t="e">
        <f>(+E139-#REF!)/#REF!</f>
        <v>#REF!</v>
      </c>
    </row>
    <row r="140" spans="1:11" s="66" customFormat="1" x14ac:dyDescent="0.25">
      <c r="A140" s="216"/>
      <c r="B140" s="217"/>
      <c r="C140" s="211"/>
      <c r="D140" s="211"/>
      <c r="E140" s="211"/>
      <c r="F140" s="211"/>
      <c r="G140" s="204"/>
      <c r="H140" s="204"/>
      <c r="I140" s="214"/>
      <c r="K140" s="29"/>
    </row>
    <row r="141" spans="1:11" s="66" customFormat="1" x14ac:dyDescent="0.25">
      <c r="A141" s="193" t="s">
        <v>216</v>
      </c>
      <c r="B141" s="242"/>
      <c r="C141" s="215"/>
      <c r="D141" s="215"/>
      <c r="E141" s="215"/>
      <c r="F141" s="227"/>
      <c r="G141" s="203"/>
      <c r="H141" s="204"/>
      <c r="I141" s="224"/>
      <c r="K141" s="29"/>
    </row>
    <row r="142" spans="1:11" s="66" customFormat="1" x14ac:dyDescent="0.25">
      <c r="A142" s="199" t="s">
        <v>54</v>
      </c>
      <c r="B142" s="217"/>
      <c r="C142" s="304">
        <v>0</v>
      </c>
      <c r="D142" s="211"/>
      <c r="E142" s="211">
        <v>34476000</v>
      </c>
      <c r="F142" s="211"/>
      <c r="G142" s="203">
        <v>1</v>
      </c>
      <c r="H142" s="204"/>
      <c r="I142" s="205">
        <f>+E142/E$162</f>
        <v>6.9158116776497164E-2</v>
      </c>
      <c r="K142" s="29"/>
    </row>
    <row r="143" spans="1:11" s="66" customFormat="1" x14ac:dyDescent="0.25">
      <c r="A143" s="216" t="s">
        <v>187</v>
      </c>
      <c r="B143" s="217"/>
      <c r="C143" s="303">
        <f>SUM(C141:C142)</f>
        <v>0</v>
      </c>
      <c r="D143" s="211"/>
      <c r="E143" s="210">
        <f>SUM(E141:E142)</f>
        <v>34476000</v>
      </c>
      <c r="F143" s="211"/>
      <c r="G143" s="212">
        <v>1</v>
      </c>
      <c r="H143" s="204"/>
      <c r="I143" s="213">
        <f>+E143/E$162</f>
        <v>6.9158116776497164E-2</v>
      </c>
      <c r="K143" s="29" t="e">
        <f>(+E143-#REF!)/#REF!</f>
        <v>#REF!</v>
      </c>
    </row>
    <row r="144" spans="1:11" x14ac:dyDescent="0.25">
      <c r="A144" s="241"/>
      <c r="B144" s="242"/>
      <c r="C144" s="215"/>
      <c r="D144" s="215"/>
      <c r="E144" s="215"/>
      <c r="F144" s="227"/>
      <c r="G144" s="203"/>
      <c r="H144" s="204"/>
      <c r="I144" s="205"/>
      <c r="K144" s="29"/>
    </row>
    <row r="145" spans="1:11" hidden="1" x14ac:dyDescent="0.25">
      <c r="A145" s="193" t="s">
        <v>159</v>
      </c>
      <c r="B145" s="242"/>
      <c r="C145" s="207"/>
      <c r="D145" s="207"/>
      <c r="E145" s="207"/>
      <c r="F145" s="211"/>
      <c r="G145" s="203"/>
      <c r="H145" s="204"/>
      <c r="I145" s="232"/>
      <c r="K145" s="29"/>
    </row>
    <row r="146" spans="1:11" hidden="1" x14ac:dyDescent="0.25">
      <c r="A146" s="199" t="s">
        <v>53</v>
      </c>
      <c r="B146" s="242"/>
      <c r="C146" s="207">
        <v>0</v>
      </c>
      <c r="D146" s="207"/>
      <c r="E146" s="207">
        <v>0</v>
      </c>
      <c r="F146" s="211"/>
      <c r="G146" s="203" t="e">
        <f>(+E146-C146)/C146</f>
        <v>#DIV/0!</v>
      </c>
      <c r="H146" s="204"/>
      <c r="I146" s="205">
        <f>+E146/E$162</f>
        <v>0</v>
      </c>
      <c r="K146" s="29" t="e">
        <f>(+E146-#REF!)/#REF!</f>
        <v>#REF!</v>
      </c>
    </row>
    <row r="147" spans="1:11" s="27" customFormat="1" hidden="1" x14ac:dyDescent="0.25">
      <c r="A147" s="199" t="s">
        <v>57</v>
      </c>
      <c r="B147" s="242"/>
      <c r="C147" s="207">
        <v>0</v>
      </c>
      <c r="D147" s="207"/>
      <c r="E147" s="207">
        <v>0</v>
      </c>
      <c r="F147" s="211"/>
      <c r="G147" s="203">
        <v>0</v>
      </c>
      <c r="H147" s="204"/>
      <c r="I147" s="205">
        <f>+E147/E$162</f>
        <v>0</v>
      </c>
      <c r="K147" s="29" t="e">
        <f>(+E147-#REF!)/#REF!</f>
        <v>#REF!</v>
      </c>
    </row>
    <row r="148" spans="1:11" hidden="1" x14ac:dyDescent="0.25">
      <c r="A148" s="216" t="s">
        <v>88</v>
      </c>
      <c r="B148" s="217"/>
      <c r="C148" s="210">
        <f>SUM(C146:C147)</f>
        <v>0</v>
      </c>
      <c r="D148" s="211"/>
      <c r="E148" s="210">
        <f>SUM(E146:E147)</f>
        <v>0</v>
      </c>
      <c r="F148" s="211"/>
      <c r="G148" s="212" t="e">
        <f>(+E148-C148)/C148</f>
        <v>#DIV/0!</v>
      </c>
      <c r="H148" s="204"/>
      <c r="I148" s="213">
        <f>+E148/E$162</f>
        <v>0</v>
      </c>
      <c r="K148" s="29" t="e">
        <f>(+E148-#REF!)/#REF!</f>
        <v>#REF!</v>
      </c>
    </row>
    <row r="149" spans="1:11" hidden="1" x14ac:dyDescent="0.25">
      <c r="A149" s="216"/>
      <c r="B149" s="217"/>
      <c r="C149" s="211"/>
      <c r="D149" s="211"/>
      <c r="E149" s="211"/>
      <c r="F149" s="211"/>
      <c r="G149" s="204"/>
      <c r="H149" s="204"/>
      <c r="I149" s="214"/>
      <c r="K149" s="30"/>
    </row>
    <row r="150" spans="1:11" x14ac:dyDescent="0.25">
      <c r="A150" s="193" t="s">
        <v>89</v>
      </c>
      <c r="B150" s="242"/>
      <c r="C150" s="215"/>
      <c r="D150" s="215"/>
      <c r="E150" s="215"/>
      <c r="F150" s="227"/>
      <c r="G150" s="203"/>
      <c r="H150" s="204"/>
      <c r="I150" s="224"/>
      <c r="K150" s="29"/>
    </row>
    <row r="151" spans="1:11" x14ac:dyDescent="0.25">
      <c r="A151" s="199" t="s">
        <v>90</v>
      </c>
      <c r="B151" s="242"/>
      <c r="C151" s="207">
        <v>210000</v>
      </c>
      <c r="D151" s="207"/>
      <c r="E151" s="207">
        <v>210000</v>
      </c>
      <c r="F151" s="211"/>
      <c r="G151" s="203">
        <f>(+E151-C151)/C151</f>
        <v>0</v>
      </c>
      <c r="H151" s="204"/>
      <c r="I151" s="205">
        <f>+E151/E$162</f>
        <v>4.2125549724632803E-4</v>
      </c>
      <c r="K151" s="29" t="e">
        <f>(+E151-#REF!)/#REF!</f>
        <v>#REF!</v>
      </c>
    </row>
    <row r="152" spans="1:11" x14ac:dyDescent="0.25">
      <c r="A152" s="216" t="s">
        <v>91</v>
      </c>
      <c r="B152" s="217"/>
      <c r="C152" s="210">
        <f>SUM(C151)</f>
        <v>210000</v>
      </c>
      <c r="D152" s="211"/>
      <c r="E152" s="210">
        <f>SUM(E151)</f>
        <v>210000</v>
      </c>
      <c r="F152" s="211"/>
      <c r="G152" s="212">
        <f>(+E152-C152)/C152</f>
        <v>0</v>
      </c>
      <c r="H152" s="204"/>
      <c r="I152" s="213">
        <f>+E152/E$162</f>
        <v>4.2125549724632803E-4</v>
      </c>
      <c r="K152" s="29" t="e">
        <f>(+E152-#REF!)/#REF!</f>
        <v>#REF!</v>
      </c>
    </row>
    <row r="153" spans="1:11" x14ac:dyDescent="0.25">
      <c r="A153" s="241"/>
      <c r="B153" s="242"/>
      <c r="C153" s="215"/>
      <c r="D153" s="215"/>
      <c r="E153" s="215"/>
      <c r="F153" s="227"/>
      <c r="G153" s="203"/>
      <c r="H153" s="204"/>
      <c r="I153" s="224"/>
      <c r="K153" s="29"/>
    </row>
    <row r="154" spans="1:11" x14ac:dyDescent="0.25">
      <c r="A154" s="193" t="s">
        <v>218</v>
      </c>
      <c r="B154" s="216"/>
      <c r="C154" s="215"/>
      <c r="D154" s="215"/>
      <c r="E154" s="215"/>
      <c r="F154" s="227"/>
      <c r="G154" s="203"/>
      <c r="H154" s="204"/>
      <c r="I154" s="224"/>
      <c r="K154" s="29"/>
    </row>
    <row r="155" spans="1:11" x14ac:dyDescent="0.25">
      <c r="A155" s="199" t="s">
        <v>54</v>
      </c>
      <c r="B155" s="242"/>
      <c r="C155" s="207">
        <v>200000</v>
      </c>
      <c r="D155" s="207"/>
      <c r="E155" s="207">
        <v>200000</v>
      </c>
      <c r="F155" s="211"/>
      <c r="G155" s="203">
        <f>(+E155-C155)/C155</f>
        <v>0</v>
      </c>
      <c r="H155" s="204"/>
      <c r="I155" s="205">
        <f>+E155/E$162</f>
        <v>4.0119571166316955E-4</v>
      </c>
      <c r="K155" s="29" t="e">
        <f>(+E155-#REF!)/#REF!</f>
        <v>#REF!</v>
      </c>
    </row>
    <row r="156" spans="1:11" x14ac:dyDescent="0.25">
      <c r="A156" s="216" t="s">
        <v>92</v>
      </c>
      <c r="B156" s="216"/>
      <c r="C156" s="210">
        <f>SUM(C155)</f>
        <v>200000</v>
      </c>
      <c r="D156" s="211"/>
      <c r="E156" s="210">
        <f>SUM(E155)</f>
        <v>200000</v>
      </c>
      <c r="F156" s="211"/>
      <c r="G156" s="212">
        <f>(+E156-C156)/C156</f>
        <v>0</v>
      </c>
      <c r="H156" s="204"/>
      <c r="I156" s="213">
        <f>+E156/E$162</f>
        <v>4.0119571166316955E-4</v>
      </c>
      <c r="K156" s="29" t="e">
        <f>(+E156-#REF!)/#REF!</f>
        <v>#REF!</v>
      </c>
    </row>
    <row r="157" spans="1:11" x14ac:dyDescent="0.25">
      <c r="A157" s="241"/>
      <c r="B157" s="242"/>
      <c r="C157" s="207"/>
      <c r="D157" s="207"/>
      <c r="E157" s="207"/>
      <c r="F157" s="233"/>
      <c r="G157" s="203"/>
      <c r="H157" s="204"/>
      <c r="I157" s="205"/>
      <c r="K157" s="29"/>
    </row>
    <row r="158" spans="1:11" x14ac:dyDescent="0.25">
      <c r="A158" s="193" t="s">
        <v>93</v>
      </c>
      <c r="B158" s="216"/>
      <c r="C158" s="215"/>
      <c r="D158" s="215"/>
      <c r="E158" s="215"/>
      <c r="F158" s="227"/>
      <c r="G158" s="203"/>
      <c r="H158" s="204"/>
      <c r="I158" s="224"/>
      <c r="K158" s="29"/>
    </row>
    <row r="159" spans="1:11" x14ac:dyDescent="0.25">
      <c r="A159" s="199" t="s">
        <v>54</v>
      </c>
      <c r="B159" s="242"/>
      <c r="C159" s="207">
        <v>2949800</v>
      </c>
      <c r="D159" s="207"/>
      <c r="E159" s="207">
        <v>3282088</v>
      </c>
      <c r="F159" s="211"/>
      <c r="G159" s="203">
        <f>(+E159-C159)/C159</f>
        <v>0.11264763712794088</v>
      </c>
      <c r="H159" s="204"/>
      <c r="I159" s="205">
        <f>+E159/E$162</f>
        <v>6.5837981545057442E-3</v>
      </c>
      <c r="K159" s="29" t="e">
        <f>(+E159-#REF!)/#REF!</f>
        <v>#REF!</v>
      </c>
    </row>
    <row r="160" spans="1:11" x14ac:dyDescent="0.25">
      <c r="A160" s="216" t="s">
        <v>94</v>
      </c>
      <c r="B160" s="216"/>
      <c r="C160" s="210">
        <f>SUM(C159)</f>
        <v>2949800</v>
      </c>
      <c r="D160" s="211"/>
      <c r="E160" s="210">
        <f>SUM(E159)</f>
        <v>3282088</v>
      </c>
      <c r="F160" s="211"/>
      <c r="G160" s="212">
        <f>(+E160-C160)/C160</f>
        <v>0.11264763712794088</v>
      </c>
      <c r="H160" s="204"/>
      <c r="I160" s="213">
        <f>+E160/E$162</f>
        <v>6.5837981545057442E-3</v>
      </c>
      <c r="K160" s="29" t="e">
        <f>(+E160-#REF!)/#REF!</f>
        <v>#REF!</v>
      </c>
    </row>
    <row r="161" spans="1:11" x14ac:dyDescent="0.25">
      <c r="A161" s="241"/>
      <c r="B161" s="242"/>
      <c r="C161" s="207"/>
      <c r="D161" s="207"/>
      <c r="E161" s="207"/>
      <c r="F161" s="233"/>
      <c r="G161" s="203"/>
      <c r="H161" s="204"/>
      <c r="I161" s="205"/>
      <c r="K161" s="29"/>
    </row>
    <row r="162" spans="1:11" ht="15.75" thickBot="1" x14ac:dyDescent="0.3">
      <c r="A162" s="216" t="s">
        <v>95</v>
      </c>
      <c r="B162" s="217"/>
      <c r="C162" s="234">
        <f>C14+C21+C28+C35+C42+C49+C61+C68+C73+C81+C89+C96+C104+C119+C127+C134+C139+C143+C152+C156+C160</f>
        <v>466077222</v>
      </c>
      <c r="D162" s="235"/>
      <c r="E162" s="234">
        <f>E14+E21+E28+E35+E42+E49+E61+E68+E73+E81+E89+E96+E104+E119+E127+E134+E139+E143+E152+E156+E160</f>
        <v>498509815</v>
      </c>
      <c r="F162" s="211"/>
      <c r="G162" s="236">
        <f>(+E162-C162)/C162</f>
        <v>6.9586307738506048E-2</v>
      </c>
      <c r="H162" s="204"/>
      <c r="I162" s="237">
        <f>+E162/E$162</f>
        <v>1</v>
      </c>
      <c r="K162" s="29" t="e">
        <f>(+E162-#REF!)/#REF!</f>
        <v>#REF!</v>
      </c>
    </row>
    <row r="163" spans="1:11" ht="15.75" thickTop="1" x14ac:dyDescent="0.25"/>
  </sheetData>
  <mergeCells count="11">
    <mergeCell ref="A109:I109"/>
    <mergeCell ref="A1:I1"/>
    <mergeCell ref="A2:I2"/>
    <mergeCell ref="A3:I3"/>
    <mergeCell ref="A51:I51"/>
    <mergeCell ref="A52:I52"/>
    <mergeCell ref="A54:I54"/>
    <mergeCell ref="A106:I106"/>
    <mergeCell ref="A107:I107"/>
    <mergeCell ref="A53:I53"/>
    <mergeCell ref="A108:I108"/>
  </mergeCells>
  <printOptions horizontalCentered="1"/>
  <pageMargins left="0.7" right="0.7" top="0.75" bottom="0.75" header="0.3" footer="0.3"/>
  <pageSetup scale="93" firstPageNumber="3" orientation="portrait" r:id="rId1"/>
  <headerFooter differentOddEven="1" differentFirst="1">
    <oddFooter>&amp;C&amp;"Arial,Regular"&amp;10-6-</oddFooter>
    <evenFooter>&amp;C&amp;"Arial,Regular"&amp;10-5-</evenFooter>
    <firstFooter>&amp;C&amp;"Arial,Regular"&amp;10-4-</firstFooter>
  </headerFooter>
  <rowBreaks count="2" manualBreakCount="2">
    <brk id="50" max="16383" man="1"/>
    <brk id="10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18"/>
  <sheetViews>
    <sheetView zoomScaleNormal="100" workbookViewId="0">
      <selection activeCell="K1" sqref="K1:K1048576"/>
    </sheetView>
  </sheetViews>
  <sheetFormatPr defaultRowHeight="15" x14ac:dyDescent="0.25"/>
  <cols>
    <col min="1" max="1" width="7.140625" style="179" customWidth="1"/>
    <col min="2" max="2" width="20.140625" style="179" bestFit="1" customWidth="1"/>
    <col min="3" max="3" width="13.85546875" style="180" customWidth="1"/>
    <col min="4" max="4" width="1.28515625" style="277" customWidth="1"/>
    <col min="5" max="5" width="13.85546875" style="180" customWidth="1"/>
    <col min="6" max="6" width="1.28515625" style="277" customWidth="1"/>
    <col min="7" max="7" width="13.85546875" style="180" bestFit="1" customWidth="1"/>
    <col min="8" max="8" width="1.5703125" style="181" customWidth="1"/>
    <col min="9" max="9" width="11.42578125" style="179" customWidth="1"/>
    <col min="10" max="10" width="1.28515625" style="277" customWidth="1"/>
    <col min="11" max="11" width="8.85546875" style="179" customWidth="1"/>
    <col min="12" max="12" width="3.28515625" customWidth="1"/>
  </cols>
  <sheetData>
    <row r="1" spans="1:11" x14ac:dyDescent="0.25">
      <c r="A1" s="243" t="s">
        <v>0</v>
      </c>
      <c r="B1" s="243"/>
      <c r="C1" s="282"/>
      <c r="D1" s="283"/>
      <c r="E1" s="284"/>
      <c r="F1" s="285"/>
      <c r="G1" s="286"/>
      <c r="H1" s="244"/>
      <c r="I1" s="245"/>
      <c r="J1" s="246"/>
      <c r="K1" s="245"/>
    </row>
    <row r="2" spans="1:11" x14ac:dyDescent="0.25">
      <c r="A2" s="278" t="s">
        <v>98</v>
      </c>
      <c r="B2" s="247"/>
      <c r="C2" s="286"/>
      <c r="D2" s="287"/>
      <c r="E2" s="288"/>
      <c r="F2" s="289"/>
      <c r="G2" s="286"/>
      <c r="H2" s="244"/>
      <c r="I2" s="245"/>
      <c r="J2" s="246"/>
      <c r="K2" s="245"/>
    </row>
    <row r="3" spans="1:11" x14ac:dyDescent="0.25">
      <c r="A3" s="279"/>
      <c r="B3" s="248"/>
      <c r="C3" s="249"/>
      <c r="D3" s="250"/>
      <c r="E3" s="251"/>
      <c r="F3" s="251"/>
      <c r="G3" s="249"/>
      <c r="H3" s="252"/>
      <c r="I3" s="253"/>
      <c r="J3" s="254"/>
      <c r="K3" s="253"/>
    </row>
    <row r="4" spans="1:11" x14ac:dyDescent="0.25">
      <c r="A4" s="248"/>
      <c r="B4" s="248"/>
      <c r="C4" s="182" t="s">
        <v>150</v>
      </c>
      <c r="D4" s="188"/>
      <c r="E4" s="182" t="s">
        <v>150</v>
      </c>
      <c r="F4" s="188"/>
      <c r="G4" s="182" t="s">
        <v>150</v>
      </c>
      <c r="H4" s="231"/>
      <c r="I4" s="184" t="s">
        <v>48</v>
      </c>
      <c r="J4" s="185"/>
      <c r="K4" s="186"/>
    </row>
    <row r="5" spans="1:11" x14ac:dyDescent="0.25">
      <c r="A5" s="248"/>
      <c r="B5" s="248"/>
      <c r="C5" s="187" t="s">
        <v>202</v>
      </c>
      <c r="D5" s="188"/>
      <c r="E5" s="187" t="s">
        <v>158</v>
      </c>
      <c r="F5" s="238"/>
      <c r="G5" s="187" t="s">
        <v>156</v>
      </c>
      <c r="H5" s="231"/>
      <c r="I5" s="184" t="s">
        <v>49</v>
      </c>
      <c r="J5" s="185"/>
      <c r="K5" s="189" t="s">
        <v>48</v>
      </c>
    </row>
    <row r="6" spans="1:11" x14ac:dyDescent="0.25">
      <c r="A6" s="248"/>
      <c r="B6" s="248"/>
      <c r="C6" s="190" t="s">
        <v>215</v>
      </c>
      <c r="D6" s="188"/>
      <c r="E6" s="190" t="s">
        <v>175</v>
      </c>
      <c r="F6" s="217"/>
      <c r="G6" s="190" t="s">
        <v>181</v>
      </c>
      <c r="H6" s="217"/>
      <c r="I6" s="191" t="s">
        <v>50</v>
      </c>
      <c r="J6" s="185"/>
      <c r="K6" s="192" t="s">
        <v>51</v>
      </c>
    </row>
    <row r="7" spans="1:11" x14ac:dyDescent="0.25">
      <c r="A7" s="248"/>
      <c r="B7" s="248"/>
      <c r="C7" s="255"/>
      <c r="D7" s="250"/>
      <c r="E7" s="249"/>
      <c r="F7" s="256"/>
      <c r="G7" s="249"/>
      <c r="H7" s="252"/>
      <c r="I7" s="253"/>
      <c r="J7" s="254"/>
      <c r="K7" s="253"/>
    </row>
    <row r="8" spans="1:11" x14ac:dyDescent="0.25">
      <c r="A8" s="248" t="s">
        <v>99</v>
      </c>
      <c r="B8" s="248" t="s">
        <v>100</v>
      </c>
      <c r="C8" s="257">
        <v>367248997</v>
      </c>
      <c r="D8" s="258"/>
      <c r="E8" s="257">
        <f>+'GF exp by funct and maj obj'!C9+'GF exp by funct and maj obj'!C17+'GF exp by funct and maj obj'!C24+'GF exp by funct and maj obj'!C31+'GF exp by funct and maj obj'!C38+'GF exp by funct and maj obj'!C45+'GF exp by funct and maj obj'!C59+'GF exp by funct and maj obj'!C64+'GF exp by funct and maj obj'!C71+'GF exp by funct and maj obj'!C80+'GF exp by funct and maj obj'!C84+'GF exp by funct and maj obj'!C92+'GF exp by funct and maj obj'!C99+'GF exp by funct and maj obj'!C114+'GF exp by funct and maj obj'!C122+'GF exp by funct and maj obj'!C130</f>
        <v>386475510</v>
      </c>
      <c r="F8" s="259"/>
      <c r="G8" s="257">
        <f>+'GF exp by funct and maj obj'!E9+'GF exp by funct and maj obj'!E17+'GF exp by funct and maj obj'!E24+'GF exp by funct and maj obj'!E31+'GF exp by funct and maj obj'!E38+'GF exp by funct and maj obj'!E45+'GF exp by funct and maj obj'!E59+'GF exp by funct and maj obj'!E64+'GF exp by funct and maj obj'!E71+'GF exp by funct and maj obj'!E80+'GF exp by funct and maj obj'!E84+'GF exp by funct and maj obj'!E92+'GF exp by funct and maj obj'!E99+'GF exp by funct and maj obj'!E114+'GF exp by funct and maj obj'!E122+'GF exp by funct and maj obj'!E130</f>
        <v>379280913</v>
      </c>
      <c r="H8" s="260"/>
      <c r="I8" s="261">
        <f t="shared" ref="I8:I13" si="0">(+G8-E8)/E8</f>
        <v>-1.8615919544294021E-2</v>
      </c>
      <c r="J8" s="262"/>
      <c r="K8" s="263">
        <f t="shared" ref="K8:K13" si="1">+G8/G$15</f>
        <v>0.76082937905645853</v>
      </c>
    </row>
    <row r="9" spans="1:11" x14ac:dyDescent="0.25">
      <c r="A9" s="248" t="s">
        <v>101</v>
      </c>
      <c r="B9" s="248" t="s">
        <v>102</v>
      </c>
      <c r="C9" s="264">
        <v>52188648</v>
      </c>
      <c r="D9" s="265"/>
      <c r="E9" s="264">
        <f>+'GF exp by funct and maj obj'!C10+'GF exp by funct and maj obj'!C18+'GF exp by funct and maj obj'!C25+'GF exp by funct and maj obj'!C32+'GF exp by funct and maj obj'!C39+'GF exp by funct and maj obj'!C46+'GF exp by funct and maj obj'!C65+'GF exp by funct and maj obj'!C72+'GF exp by funct and maj obj'!C85+'GF exp by funct and maj obj'!C93+'GF exp by funct and maj obj'!C100+'GF exp by funct and maj obj'!C115+'GF exp by funct and maj obj'!C123+'GF exp by funct and maj obj'!C131+'GF exp by funct and maj obj'!C142+'GF exp by funct and maj obj'!C155+'GF exp by funct and maj obj'!C159</f>
        <v>57621770</v>
      </c>
      <c r="F9" s="265"/>
      <c r="G9" s="264">
        <f>+'GF exp by funct and maj obj'!E10+'GF exp by funct and maj obj'!E18+'GF exp by funct and maj obj'!E25+'GF exp by funct and maj obj'!E32+'GF exp by funct and maj obj'!E39+'GF exp by funct and maj obj'!E46+'GF exp by funct and maj obj'!E65+'GF exp by funct and maj obj'!E72+'GF exp by funct and maj obj'!E85+'GF exp by funct and maj obj'!E93+'GF exp by funct and maj obj'!E100+'GF exp by funct and maj obj'!E115+'GF exp by funct and maj obj'!E123+'GF exp by funct and maj obj'!E131+'GF exp by funct and maj obj'!E142+'GF exp by funct and maj obj'!E155+'GF exp by funct and maj obj'!E159</f>
        <v>97236599</v>
      </c>
      <c r="H9" s="260"/>
      <c r="I9" s="261">
        <f t="shared" si="0"/>
        <v>0.68749760724115205</v>
      </c>
      <c r="J9" s="262"/>
      <c r="K9" s="263">
        <f t="shared" si="1"/>
        <v>0.19505453267755621</v>
      </c>
    </row>
    <row r="10" spans="1:11" x14ac:dyDescent="0.25">
      <c r="A10" s="248" t="s">
        <v>103</v>
      </c>
      <c r="B10" s="248" t="s">
        <v>104</v>
      </c>
      <c r="C10" s="264">
        <v>11742976</v>
      </c>
      <c r="D10" s="265"/>
      <c r="E10" s="264">
        <f>+'GF exp by funct and maj obj'!C11+'GF exp by funct and maj obj'!C19+'GF exp by funct and maj obj'!C26+'GF exp by funct and maj obj'!C33+'GF exp by funct and maj obj'!C40+'GF exp by funct and maj obj'!C47+'GF exp by funct and maj obj'!C60+'GF exp by funct and maj obj'!C66+'GF exp by funct and maj obj'!C86+'GF exp by funct and maj obj'!C94+'GF exp by funct and maj obj'!C101+'GF exp by funct and maj obj'!C116+'GF exp by funct and maj obj'!C124+'GF exp by funct and maj obj'!C132</f>
        <v>14903386</v>
      </c>
      <c r="F10" s="265"/>
      <c r="G10" s="264">
        <f>+'GF exp by funct and maj obj'!E11+'GF exp by funct and maj obj'!E19+'GF exp by funct and maj obj'!E26+'GF exp by funct and maj obj'!E33+'GF exp by funct and maj obj'!E40+'GF exp by funct and maj obj'!E47+'GF exp by funct and maj obj'!E60+'GF exp by funct and maj obj'!E66+'GF exp by funct and maj obj'!E86+'GF exp by funct and maj obj'!E94+'GF exp by funct and maj obj'!E101+'GF exp by funct and maj obj'!E116+'GF exp by funct and maj obj'!E124+'GF exp by funct and maj obj'!E132</f>
        <v>14859856</v>
      </c>
      <c r="H10" s="266"/>
      <c r="I10" s="261">
        <f t="shared" si="0"/>
        <v>-2.9208127602680357E-3</v>
      </c>
      <c r="J10" s="262"/>
      <c r="K10" s="263">
        <f t="shared" si="1"/>
        <v>2.9808552515661099E-2</v>
      </c>
    </row>
    <row r="11" spans="1:11" x14ac:dyDescent="0.25">
      <c r="A11" s="248" t="s">
        <v>105</v>
      </c>
      <c r="B11" s="248" t="s">
        <v>106</v>
      </c>
      <c r="C11" s="264">
        <v>5599644</v>
      </c>
      <c r="D11" s="265"/>
      <c r="E11" s="264">
        <v>6109555</v>
      </c>
      <c r="F11" s="265"/>
      <c r="G11" s="264">
        <f>+'GF exp by funct and maj obj'!E12+'GF exp by funct and maj obj'!E20+'GF exp by funct and maj obj'!E27+'GF exp by funct and maj obj'!E34+'GF exp by funct and maj obj'!E41+'GF exp by funct and maj obj'!E48+'GF exp by funct and maj obj'!E67+'GF exp by funct and maj obj'!E87+'GF exp by funct and maj obj'!E95+'GF exp by funct and maj obj'!E102+'GF exp by funct and maj obj'!E117+'GF exp by funct and maj obj'!E125+'GF exp by funct and maj obj'!E133+'GF exp by funct and maj obj'!E151</f>
        <v>6922297</v>
      </c>
      <c r="H11" s="266"/>
      <c r="I11" s="261">
        <f t="shared" si="0"/>
        <v>0.13302801922562282</v>
      </c>
      <c r="J11" s="262"/>
      <c r="K11" s="263">
        <f t="shared" si="1"/>
        <v>1.3885979356294119E-2</v>
      </c>
    </row>
    <row r="12" spans="1:11" s="66" customFormat="1" x14ac:dyDescent="0.25">
      <c r="A12" s="248" t="s">
        <v>200</v>
      </c>
      <c r="B12" s="248" t="s">
        <v>21</v>
      </c>
      <c r="C12" s="264">
        <v>658425</v>
      </c>
      <c r="D12" s="265"/>
      <c r="E12" s="264">
        <f>+'GF exp by funct and maj obj'!C138</f>
        <v>658426</v>
      </c>
      <c r="F12" s="265"/>
      <c r="G12" s="305">
        <f>+'GF exp by funct and maj obj'!E138</f>
        <v>0</v>
      </c>
      <c r="H12" s="266"/>
      <c r="I12" s="261">
        <f t="shared" si="0"/>
        <v>-1</v>
      </c>
      <c r="J12" s="262"/>
      <c r="K12" s="263">
        <f t="shared" si="1"/>
        <v>0</v>
      </c>
    </row>
    <row r="13" spans="1:11" x14ac:dyDescent="0.25">
      <c r="A13" s="248" t="s">
        <v>107</v>
      </c>
      <c r="B13" s="267" t="s">
        <v>108</v>
      </c>
      <c r="C13" s="268">
        <v>553180</v>
      </c>
      <c r="D13" s="265"/>
      <c r="E13" s="268">
        <v>308575</v>
      </c>
      <c r="F13" s="265"/>
      <c r="G13" s="268">
        <f>+'GF exp by funct and maj obj'!E13+'GF exp by funct and maj obj'!E103+'GF exp by funct and maj obj'!E118</f>
        <v>210150</v>
      </c>
      <c r="H13" s="266"/>
      <c r="I13" s="269">
        <f t="shared" si="0"/>
        <v>-0.31896621566880012</v>
      </c>
      <c r="J13" s="262"/>
      <c r="K13" s="270">
        <f t="shared" si="1"/>
        <v>4.215563940300754E-4</v>
      </c>
    </row>
    <row r="14" spans="1:11" x14ac:dyDescent="0.25">
      <c r="A14" s="248"/>
      <c r="B14" s="248"/>
      <c r="C14" s="265"/>
      <c r="D14" s="265"/>
      <c r="E14" s="265"/>
      <c r="F14" s="265"/>
      <c r="G14" s="265"/>
      <c r="H14" s="266"/>
      <c r="I14" s="271"/>
      <c r="J14" s="262"/>
      <c r="K14" s="272"/>
    </row>
    <row r="15" spans="1:11" ht="15.75" thickBot="1" x14ac:dyDescent="0.3">
      <c r="A15" s="248"/>
      <c r="B15" s="273" t="s">
        <v>95</v>
      </c>
      <c r="C15" s="274">
        <f>SUM(C8:C14)</f>
        <v>437991870</v>
      </c>
      <c r="D15" s="258"/>
      <c r="E15" s="274">
        <f>SUM(E8:E14)</f>
        <v>466077222</v>
      </c>
      <c r="F15" s="259"/>
      <c r="G15" s="274">
        <f>SUM(G8:G14)</f>
        <v>498509815</v>
      </c>
      <c r="H15" s="266"/>
      <c r="I15" s="275">
        <f>(+G15-E15)/E15</f>
        <v>6.9586307738506048E-2</v>
      </c>
      <c r="J15" s="262"/>
      <c r="K15" s="276">
        <f>SUM(K8:K14)</f>
        <v>1</v>
      </c>
    </row>
    <row r="16" spans="1:11" ht="15.75" thickTop="1" x14ac:dyDescent="0.25">
      <c r="H16" s="266"/>
    </row>
    <row r="17" spans="5:8" x14ac:dyDescent="0.25">
      <c r="E17" s="280"/>
      <c r="H17" s="266"/>
    </row>
    <row r="18" spans="5:8" x14ac:dyDescent="0.25">
      <c r="H18" s="266"/>
    </row>
    <row r="19" spans="5:8" x14ac:dyDescent="0.25">
      <c r="H19" s="266"/>
    </row>
    <row r="20" spans="5:8" x14ac:dyDescent="0.25">
      <c r="H20" s="266"/>
    </row>
    <row r="21" spans="5:8" x14ac:dyDescent="0.25">
      <c r="H21" s="266"/>
    </row>
    <row r="22" spans="5:8" x14ac:dyDescent="0.25">
      <c r="H22" s="266"/>
    </row>
    <row r="23" spans="5:8" x14ac:dyDescent="0.25">
      <c r="H23" s="266"/>
    </row>
    <row r="24" spans="5:8" x14ac:dyDescent="0.25">
      <c r="H24" s="266"/>
    </row>
    <row r="25" spans="5:8" x14ac:dyDescent="0.25">
      <c r="H25" s="266"/>
    </row>
    <row r="26" spans="5:8" x14ac:dyDescent="0.25">
      <c r="H26" s="266"/>
    </row>
    <row r="27" spans="5:8" x14ac:dyDescent="0.25">
      <c r="H27" s="266"/>
    </row>
    <row r="28" spans="5:8" x14ac:dyDescent="0.25">
      <c r="H28" s="266"/>
    </row>
    <row r="29" spans="5:8" x14ac:dyDescent="0.25">
      <c r="H29" s="266"/>
    </row>
    <row r="30" spans="5:8" x14ac:dyDescent="0.25">
      <c r="H30" s="281"/>
    </row>
    <row r="31" spans="5:8" x14ac:dyDescent="0.25">
      <c r="H31" s="281"/>
    </row>
    <row r="32" spans="5:8" x14ac:dyDescent="0.25">
      <c r="H32" s="281"/>
    </row>
    <row r="33" spans="8:8" x14ac:dyDescent="0.25">
      <c r="H33" s="281"/>
    </row>
    <row r="34" spans="8:8" x14ac:dyDescent="0.25">
      <c r="H34" s="281"/>
    </row>
    <row r="35" spans="8:8" x14ac:dyDescent="0.25">
      <c r="H35" s="281"/>
    </row>
    <row r="36" spans="8:8" x14ac:dyDescent="0.25">
      <c r="H36" s="281"/>
    </row>
    <row r="37" spans="8:8" x14ac:dyDescent="0.25">
      <c r="H37" s="281"/>
    </row>
    <row r="38" spans="8:8" x14ac:dyDescent="0.25">
      <c r="H38" s="281"/>
    </row>
    <row r="79" spans="9:10" x14ac:dyDescent="0.25">
      <c r="I79" s="277"/>
      <c r="J79" s="179"/>
    </row>
    <row r="80" spans="9:10" x14ac:dyDescent="0.25">
      <c r="I80" s="277"/>
      <c r="J80" s="179"/>
    </row>
    <row r="81" spans="9:10" x14ac:dyDescent="0.25">
      <c r="I81" s="277"/>
      <c r="J81" s="179"/>
    </row>
    <row r="82" spans="9:10" x14ac:dyDescent="0.25">
      <c r="I82" s="277"/>
      <c r="J82" s="179"/>
    </row>
    <row r="83" spans="9:10" x14ac:dyDescent="0.25">
      <c r="I83" s="277"/>
      <c r="J83" s="179"/>
    </row>
    <row r="84" spans="9:10" x14ac:dyDescent="0.25">
      <c r="I84" s="277"/>
      <c r="J84" s="179"/>
    </row>
    <row r="85" spans="9:10" x14ac:dyDescent="0.25">
      <c r="I85" s="277"/>
      <c r="J85" s="179"/>
    </row>
    <row r="86" spans="9:10" x14ac:dyDescent="0.25">
      <c r="I86" s="277"/>
      <c r="J86" s="179"/>
    </row>
    <row r="87" spans="9:10" x14ac:dyDescent="0.25">
      <c r="I87" s="277"/>
      <c r="J87" s="179"/>
    </row>
    <row r="88" spans="9:10" x14ac:dyDescent="0.25">
      <c r="I88" s="277"/>
      <c r="J88" s="179"/>
    </row>
    <row r="89" spans="9:10" x14ac:dyDescent="0.25">
      <c r="I89" s="277"/>
      <c r="J89" s="179"/>
    </row>
    <row r="90" spans="9:10" x14ac:dyDescent="0.25">
      <c r="I90" s="277"/>
      <c r="J90" s="179"/>
    </row>
    <row r="91" spans="9:10" x14ac:dyDescent="0.25">
      <c r="I91" s="277"/>
      <c r="J91" s="179"/>
    </row>
    <row r="92" spans="9:10" x14ac:dyDescent="0.25">
      <c r="I92" s="277"/>
      <c r="J92" s="179"/>
    </row>
    <row r="93" spans="9:10" x14ac:dyDescent="0.25">
      <c r="I93" s="277"/>
      <c r="J93" s="179"/>
    </row>
    <row r="94" spans="9:10" x14ac:dyDescent="0.25">
      <c r="I94" s="277"/>
      <c r="J94" s="179"/>
    </row>
    <row r="95" spans="9:10" x14ac:dyDescent="0.25">
      <c r="I95" s="277"/>
      <c r="J95" s="179"/>
    </row>
    <row r="96" spans="9:10" x14ac:dyDescent="0.25">
      <c r="I96" s="277"/>
      <c r="J96" s="179"/>
    </row>
    <row r="97" spans="9:10" x14ac:dyDescent="0.25">
      <c r="I97" s="277"/>
      <c r="J97" s="179"/>
    </row>
    <row r="98" spans="9:10" x14ac:dyDescent="0.25">
      <c r="I98" s="277"/>
      <c r="J98" s="179"/>
    </row>
    <row r="99" spans="9:10" x14ac:dyDescent="0.25">
      <c r="I99" s="277"/>
      <c r="J99" s="179"/>
    </row>
    <row r="100" spans="9:10" x14ac:dyDescent="0.25">
      <c r="I100" s="277"/>
      <c r="J100" s="179"/>
    </row>
    <row r="101" spans="9:10" x14ac:dyDescent="0.25">
      <c r="I101" s="277"/>
      <c r="J101" s="179"/>
    </row>
    <row r="102" spans="9:10" x14ac:dyDescent="0.25">
      <c r="I102" s="277"/>
      <c r="J102" s="179"/>
    </row>
    <row r="103" spans="9:10" x14ac:dyDescent="0.25">
      <c r="I103" s="277"/>
      <c r="J103" s="179"/>
    </row>
    <row r="104" spans="9:10" x14ac:dyDescent="0.25">
      <c r="I104" s="277"/>
      <c r="J104" s="179"/>
    </row>
    <row r="105" spans="9:10" x14ac:dyDescent="0.25">
      <c r="I105" s="277"/>
      <c r="J105" s="179"/>
    </row>
    <row r="106" spans="9:10" x14ac:dyDescent="0.25">
      <c r="I106" s="277"/>
      <c r="J106" s="179"/>
    </row>
    <row r="107" spans="9:10" x14ac:dyDescent="0.25">
      <c r="I107" s="277"/>
      <c r="J107" s="179"/>
    </row>
    <row r="108" spans="9:10" x14ac:dyDescent="0.25">
      <c r="I108" s="277"/>
      <c r="J108" s="179"/>
    </row>
    <row r="109" spans="9:10" x14ac:dyDescent="0.25">
      <c r="I109" s="277"/>
      <c r="J109" s="179"/>
    </row>
    <row r="110" spans="9:10" x14ac:dyDescent="0.25">
      <c r="I110" s="277"/>
      <c r="J110" s="179"/>
    </row>
    <row r="111" spans="9:10" x14ac:dyDescent="0.25">
      <c r="I111" s="277"/>
      <c r="J111" s="179"/>
    </row>
    <row r="112" spans="9:10" x14ac:dyDescent="0.25">
      <c r="I112" s="277"/>
      <c r="J112" s="179"/>
    </row>
    <row r="113" spans="9:10" x14ac:dyDescent="0.25">
      <c r="I113" s="277"/>
      <c r="J113" s="179"/>
    </row>
    <row r="114" spans="9:10" x14ac:dyDescent="0.25">
      <c r="I114" s="277"/>
      <c r="J114" s="179"/>
    </row>
    <row r="115" spans="9:10" x14ac:dyDescent="0.25">
      <c r="I115" s="277"/>
      <c r="J115" s="179"/>
    </row>
    <row r="116" spans="9:10" x14ac:dyDescent="0.25">
      <c r="I116" s="277"/>
      <c r="J116" s="179"/>
    </row>
    <row r="117" spans="9:10" x14ac:dyDescent="0.25">
      <c r="I117" s="277"/>
      <c r="J117" s="179"/>
    </row>
    <row r="118" spans="9:10" x14ac:dyDescent="0.25">
      <c r="I118" s="277"/>
      <c r="J118" s="179"/>
    </row>
  </sheetData>
  <pageMargins left="0.7" right="0.7" top="0.75" bottom="0.75" header="0.3" footer="0.3"/>
  <pageSetup scale="98" firstPageNumber="6" orientation="portrait" r:id="rId1"/>
  <headerFooter>
    <oddFooter>&amp;C&amp;"Arial,Regular"&amp;10-7-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15"/>
  <sheetViews>
    <sheetView zoomScaleNormal="100" workbookViewId="0">
      <selection activeCell="Q15" sqref="Q15"/>
    </sheetView>
  </sheetViews>
  <sheetFormatPr defaultColWidth="9.140625" defaultRowHeight="15" x14ac:dyDescent="0.25"/>
  <cols>
    <col min="1" max="1" width="5.5703125" style="105" customWidth="1"/>
    <col min="2" max="2" width="40.42578125" style="27" customWidth="1"/>
    <col min="3" max="3" width="15.5703125" style="36" customWidth="1"/>
    <col min="4" max="4" width="2" style="27" customWidth="1"/>
    <col min="5" max="5" width="14.5703125" style="36" customWidth="1"/>
    <col min="6" max="6" width="2.7109375" style="36" customWidth="1"/>
    <col min="7" max="7" width="14.5703125" style="36" hidden="1" customWidth="1"/>
    <col min="8" max="8" width="2.7109375" style="36" hidden="1" customWidth="1"/>
    <col min="9" max="9" width="14" style="36" customWidth="1"/>
    <col min="10" max="10" width="0" style="27" hidden="1" customWidth="1"/>
    <col min="11" max="16384" width="9.140625" style="27"/>
  </cols>
  <sheetData>
    <row r="1" spans="1:10" x14ac:dyDescent="0.25">
      <c r="B1" s="306" t="s">
        <v>0</v>
      </c>
      <c r="C1" s="306"/>
      <c r="D1" s="306"/>
      <c r="E1" s="306"/>
      <c r="F1" s="306"/>
      <c r="G1" s="306"/>
      <c r="H1" s="306"/>
      <c r="I1" s="306"/>
      <c r="J1" s="5"/>
    </row>
    <row r="2" spans="1:10" x14ac:dyDescent="0.25">
      <c r="B2" s="306" t="s">
        <v>109</v>
      </c>
      <c r="C2" s="306"/>
      <c r="D2" s="306"/>
      <c r="E2" s="306"/>
      <c r="F2" s="306"/>
      <c r="G2" s="306"/>
      <c r="H2" s="306"/>
      <c r="I2" s="306"/>
      <c r="J2" s="5"/>
    </row>
    <row r="3" spans="1:10" x14ac:dyDescent="0.25">
      <c r="B3" s="306"/>
      <c r="C3" s="306"/>
      <c r="D3" s="306"/>
      <c r="E3" s="306"/>
      <c r="F3" s="306"/>
      <c r="G3" s="306"/>
      <c r="H3" s="306"/>
      <c r="I3" s="306"/>
      <c r="J3" s="5"/>
    </row>
    <row r="4" spans="1:10" x14ac:dyDescent="0.25">
      <c r="B4" s="9"/>
      <c r="C4" s="61" t="s">
        <v>1</v>
      </c>
      <c r="D4" s="5"/>
      <c r="E4" s="61"/>
      <c r="F4" s="10"/>
      <c r="G4" s="61" t="s">
        <v>44</v>
      </c>
      <c r="H4" s="11"/>
      <c r="I4" s="55" t="s">
        <v>152</v>
      </c>
      <c r="J4" s="5"/>
    </row>
    <row r="5" spans="1:10" x14ac:dyDescent="0.25">
      <c r="B5" s="9"/>
      <c r="C5" s="61" t="s">
        <v>45</v>
      </c>
      <c r="D5" s="11"/>
      <c r="E5" s="61" t="s">
        <v>155</v>
      </c>
      <c r="F5" s="10"/>
      <c r="G5" s="76" t="s">
        <v>45</v>
      </c>
      <c r="H5" s="57"/>
      <c r="I5" s="61" t="s">
        <v>2</v>
      </c>
      <c r="J5" s="5"/>
    </row>
    <row r="6" spans="1:10" x14ac:dyDescent="0.25">
      <c r="B6" s="5"/>
      <c r="C6" s="63" t="s">
        <v>174</v>
      </c>
      <c r="D6" s="12"/>
      <c r="E6" s="63" t="s">
        <v>175</v>
      </c>
      <c r="F6" s="46"/>
      <c r="G6" s="63" t="s">
        <v>167</v>
      </c>
      <c r="H6" s="57"/>
      <c r="I6" s="63" t="s">
        <v>181</v>
      </c>
      <c r="J6" s="5"/>
    </row>
    <row r="7" spans="1:10" x14ac:dyDescent="0.25">
      <c r="A7" s="2" t="s">
        <v>3</v>
      </c>
      <c r="B7" s="105"/>
      <c r="C7" s="7"/>
      <c r="D7" s="6"/>
      <c r="E7" s="7"/>
      <c r="F7" s="7"/>
      <c r="G7" s="7"/>
      <c r="H7" s="57"/>
      <c r="I7" s="7"/>
      <c r="J7" s="5"/>
    </row>
    <row r="8" spans="1:10" x14ac:dyDescent="0.25">
      <c r="A8" s="2" t="s">
        <v>116</v>
      </c>
      <c r="B8" s="105"/>
      <c r="C8" s="7"/>
      <c r="D8" s="6"/>
      <c r="E8" s="7"/>
      <c r="F8" s="7"/>
      <c r="G8" s="7"/>
      <c r="H8" s="57"/>
      <c r="I8" s="7"/>
      <c r="J8" s="5"/>
    </row>
    <row r="9" spans="1:10" x14ac:dyDescent="0.25">
      <c r="A9" s="290">
        <v>5751</v>
      </c>
      <c r="B9" s="14" t="s">
        <v>110</v>
      </c>
      <c r="C9" s="23">
        <v>10031806</v>
      </c>
      <c r="D9" s="23"/>
      <c r="E9" s="23">
        <v>11603101</v>
      </c>
      <c r="F9" s="23"/>
      <c r="G9" s="23">
        <v>10100000</v>
      </c>
      <c r="H9" s="58"/>
      <c r="I9" s="23">
        <v>11489931</v>
      </c>
      <c r="J9" s="68">
        <f>+I9/I$27</f>
        <v>0.47321769454368073</v>
      </c>
    </row>
    <row r="10" spans="1:10" x14ac:dyDescent="0.25">
      <c r="B10" s="14" t="s">
        <v>111</v>
      </c>
      <c r="C10" s="22">
        <v>118112</v>
      </c>
      <c r="D10" s="7"/>
      <c r="E10" s="22">
        <v>94280</v>
      </c>
      <c r="F10" s="22"/>
      <c r="G10" s="22">
        <v>7843</v>
      </c>
      <c r="H10" s="57"/>
      <c r="I10" s="22">
        <v>116097</v>
      </c>
      <c r="J10" s="68">
        <f t="shared" ref="J10:J27" si="0">+I10/I$27</f>
        <v>4.7815043174269456E-3</v>
      </c>
    </row>
    <row r="11" spans="1:10" x14ac:dyDescent="0.25">
      <c r="B11" s="14"/>
      <c r="C11" s="22"/>
      <c r="D11" s="7"/>
      <c r="E11" s="22"/>
      <c r="F11" s="22"/>
      <c r="G11" s="22"/>
      <c r="H11" s="57"/>
      <c r="I11" s="22"/>
      <c r="J11" s="68"/>
    </row>
    <row r="12" spans="1:10" x14ac:dyDescent="0.25">
      <c r="B12" s="14" t="s">
        <v>114</v>
      </c>
      <c r="C12" s="81">
        <f>SUM(C9:C11)</f>
        <v>10149918</v>
      </c>
      <c r="D12" s="7"/>
      <c r="E12" s="24">
        <f>SUM(E9:E11)</f>
        <v>11697381</v>
      </c>
      <c r="F12" s="22"/>
      <c r="G12" s="24">
        <f>SUM(G9:G11)</f>
        <v>10107843</v>
      </c>
      <c r="H12" s="57"/>
      <c r="I12" s="24">
        <f>SUM(I9:I11)</f>
        <v>11606028</v>
      </c>
      <c r="J12" s="68">
        <f t="shared" si="0"/>
        <v>0.4779991988611077</v>
      </c>
    </row>
    <row r="13" spans="1:10" x14ac:dyDescent="0.25">
      <c r="B13" s="14"/>
      <c r="C13" s="22"/>
      <c r="D13" s="7"/>
      <c r="E13" s="22"/>
      <c r="F13" s="22"/>
      <c r="G13" s="22"/>
      <c r="H13" s="57"/>
      <c r="I13" s="22"/>
      <c r="J13" s="68"/>
    </row>
    <row r="14" spans="1:10" x14ac:dyDescent="0.25">
      <c r="A14" s="165" t="s">
        <v>117</v>
      </c>
      <c r="B14" s="14"/>
      <c r="C14" s="22"/>
      <c r="D14" s="7"/>
      <c r="E14" s="22"/>
      <c r="F14" s="22"/>
      <c r="G14" s="22"/>
      <c r="H14" s="57"/>
      <c r="I14" s="22"/>
      <c r="J14" s="68"/>
    </row>
    <row r="15" spans="1:10" x14ac:dyDescent="0.25">
      <c r="A15" s="290">
        <v>5829</v>
      </c>
      <c r="B15" s="14" t="s">
        <v>112</v>
      </c>
      <c r="C15" s="22">
        <v>113089</v>
      </c>
      <c r="D15" s="7"/>
      <c r="E15" s="22">
        <v>109688</v>
      </c>
      <c r="F15" s="22"/>
      <c r="G15" s="22">
        <v>109688</v>
      </c>
      <c r="H15" s="57"/>
      <c r="I15" s="22">
        <v>113089</v>
      </c>
      <c r="J15" s="68">
        <f t="shared" si="0"/>
        <v>4.6576185582185231E-3</v>
      </c>
    </row>
    <row r="16" spans="1:10" x14ac:dyDescent="0.25">
      <c r="A16" s="290">
        <v>5831</v>
      </c>
      <c r="B16" s="14" t="s">
        <v>113</v>
      </c>
      <c r="C16" s="20">
        <v>0</v>
      </c>
      <c r="D16" s="15"/>
      <c r="E16" s="20">
        <v>0</v>
      </c>
      <c r="F16" s="20"/>
      <c r="G16" s="22">
        <v>0</v>
      </c>
      <c r="H16" s="57"/>
      <c r="I16" s="20">
        <v>0</v>
      </c>
      <c r="J16" s="68">
        <f t="shared" si="0"/>
        <v>0</v>
      </c>
    </row>
    <row r="17" spans="1:10" x14ac:dyDescent="0.25">
      <c r="B17" s="14"/>
      <c r="C17" s="20"/>
      <c r="D17" s="15"/>
      <c r="E17" s="20"/>
      <c r="F17" s="20"/>
      <c r="G17" s="20"/>
      <c r="H17" s="57"/>
      <c r="I17" s="20"/>
      <c r="J17" s="68"/>
    </row>
    <row r="18" spans="1:10" x14ac:dyDescent="0.25">
      <c r="B18" s="14" t="s">
        <v>115</v>
      </c>
      <c r="C18" s="48">
        <f>SUM(C15:C17)</f>
        <v>113089</v>
      </c>
      <c r="D18" s="15"/>
      <c r="E18" s="48">
        <f>SUM(E15:E17)</f>
        <v>109688</v>
      </c>
      <c r="F18" s="20"/>
      <c r="G18" s="48">
        <f>SUM(G15:G17)</f>
        <v>109688</v>
      </c>
      <c r="H18" s="57"/>
      <c r="I18" s="48">
        <f>SUM(I15:I17)</f>
        <v>113089</v>
      </c>
      <c r="J18" s="68">
        <f t="shared" si="0"/>
        <v>4.6576185582185231E-3</v>
      </c>
    </row>
    <row r="19" spans="1:10" x14ac:dyDescent="0.25">
      <c r="B19" s="14"/>
      <c r="C19" s="20"/>
      <c r="D19" s="15"/>
      <c r="E19" s="20"/>
      <c r="F19" s="20"/>
      <c r="G19" s="20"/>
      <c r="H19" s="57"/>
      <c r="I19" s="20"/>
      <c r="J19" s="68"/>
    </row>
    <row r="20" spans="1:10" x14ac:dyDescent="0.25">
      <c r="A20" s="49" t="s">
        <v>153</v>
      </c>
      <c r="B20" s="14"/>
      <c r="C20" s="20"/>
      <c r="D20" s="15"/>
      <c r="E20" s="20"/>
      <c r="F20" s="20"/>
      <c r="G20" s="20"/>
      <c r="H20" s="57"/>
      <c r="I20" s="20"/>
      <c r="J20" s="68"/>
    </row>
    <row r="21" spans="1:10" x14ac:dyDescent="0.25">
      <c r="A21" s="56">
        <v>5921</v>
      </c>
      <c r="B21" s="14" t="s">
        <v>118</v>
      </c>
      <c r="C21" s="20">
        <v>2620630</v>
      </c>
      <c r="D21" s="15"/>
      <c r="E21" s="20">
        <v>2682078</v>
      </c>
      <c r="F21" s="20"/>
      <c r="G21" s="20">
        <v>2725036</v>
      </c>
      <c r="H21" s="57"/>
      <c r="I21" s="20">
        <v>2681938</v>
      </c>
      <c r="J21" s="68">
        <f t="shared" si="0"/>
        <v>0.11045675707444109</v>
      </c>
    </row>
    <row r="22" spans="1:10" x14ac:dyDescent="0.25">
      <c r="A22" s="56">
        <v>5922</v>
      </c>
      <c r="B22" s="14" t="s">
        <v>119</v>
      </c>
      <c r="C22" s="20">
        <v>8179633</v>
      </c>
      <c r="D22" s="15"/>
      <c r="E22" s="20">
        <v>8282835</v>
      </c>
      <c r="F22" s="20"/>
      <c r="G22" s="20">
        <v>8374075</v>
      </c>
      <c r="H22" s="57"/>
      <c r="I22" s="20">
        <v>8438272</v>
      </c>
      <c r="J22" s="68">
        <f t="shared" si="0"/>
        <v>0.3475338208534493</v>
      </c>
    </row>
    <row r="23" spans="1:10" x14ac:dyDescent="0.25">
      <c r="A23" s="56">
        <v>5923</v>
      </c>
      <c r="B23" s="14" t="s">
        <v>120</v>
      </c>
      <c r="C23" s="20">
        <v>1419720</v>
      </c>
      <c r="D23" s="15"/>
      <c r="E23" s="20">
        <v>1515368</v>
      </c>
      <c r="F23" s="20"/>
      <c r="G23" s="20">
        <v>1016966</v>
      </c>
      <c r="H23" s="57"/>
      <c r="I23" s="20">
        <v>1441107</v>
      </c>
      <c r="J23" s="68">
        <f t="shared" si="0"/>
        <v>5.9352604652783386E-2</v>
      </c>
    </row>
    <row r="24" spans="1:10" x14ac:dyDescent="0.25">
      <c r="A24" s="56">
        <v>5939</v>
      </c>
      <c r="B24" s="56" t="s">
        <v>186</v>
      </c>
      <c r="C24" s="20">
        <v>98656</v>
      </c>
      <c r="D24" s="15"/>
      <c r="E24" s="20">
        <v>0</v>
      </c>
      <c r="F24" s="20"/>
      <c r="G24" s="20"/>
      <c r="H24" s="57"/>
      <c r="I24" s="20">
        <v>0</v>
      </c>
      <c r="J24" s="68"/>
    </row>
    <row r="25" spans="1:10" x14ac:dyDescent="0.25">
      <c r="A25" s="49"/>
      <c r="B25" s="14" t="s">
        <v>121</v>
      </c>
      <c r="C25" s="48">
        <f>SUM(C21:C24)</f>
        <v>12318639</v>
      </c>
      <c r="D25" s="15"/>
      <c r="E25" s="48">
        <f>SUM(E21:E24)</f>
        <v>12480281</v>
      </c>
      <c r="F25" s="20"/>
      <c r="G25" s="48">
        <f>SUM(G21:G24)</f>
        <v>12116077</v>
      </c>
      <c r="H25" s="57"/>
      <c r="I25" s="48">
        <f>SUM(I21:I24)</f>
        <v>12561317</v>
      </c>
      <c r="J25" s="68">
        <f t="shared" si="0"/>
        <v>0.5173431825806738</v>
      </c>
    </row>
    <row r="26" spans="1:10" x14ac:dyDescent="0.25">
      <c r="B26" s="105"/>
      <c r="C26" s="15"/>
      <c r="D26" s="15"/>
      <c r="E26" s="20"/>
      <c r="F26" s="15"/>
      <c r="G26" s="15"/>
      <c r="H26" s="57"/>
      <c r="I26" s="20"/>
      <c r="J26" s="68"/>
    </row>
    <row r="27" spans="1:10" x14ac:dyDescent="0.25">
      <c r="B27" s="49" t="s">
        <v>201</v>
      </c>
      <c r="C27" s="50">
        <f>+C25+C18+C12</f>
        <v>22581646</v>
      </c>
      <c r="D27" s="13"/>
      <c r="E27" s="50">
        <f>+E25+E18+E12</f>
        <v>24287350</v>
      </c>
      <c r="F27" s="13"/>
      <c r="G27" s="50">
        <f>+G25+G18+G12</f>
        <v>22333608</v>
      </c>
      <c r="H27" s="57"/>
      <c r="I27" s="50">
        <f>+I25+I18+I12</f>
        <v>24280434</v>
      </c>
      <c r="J27" s="68">
        <f t="shared" si="0"/>
        <v>1</v>
      </c>
    </row>
    <row r="28" spans="1:10" x14ac:dyDescent="0.25">
      <c r="B28" s="5"/>
      <c r="C28" s="7"/>
      <c r="D28" s="6"/>
      <c r="E28" s="7"/>
      <c r="F28" s="7"/>
      <c r="G28" s="7"/>
      <c r="H28" s="57"/>
      <c r="I28" s="7"/>
      <c r="J28" s="68"/>
    </row>
    <row r="29" spans="1:10" x14ac:dyDescent="0.25">
      <c r="A29" s="2" t="s">
        <v>4</v>
      </c>
      <c r="C29" s="7"/>
      <c r="D29" s="6"/>
      <c r="E29" s="7"/>
      <c r="F29" s="7"/>
      <c r="G29" s="7"/>
      <c r="H29" s="57"/>
      <c r="I29" s="7"/>
      <c r="J29" s="68"/>
    </row>
    <row r="30" spans="1:10" x14ac:dyDescent="0.25">
      <c r="B30" s="56" t="s">
        <v>122</v>
      </c>
      <c r="C30" s="22">
        <v>8535547</v>
      </c>
      <c r="D30" s="22"/>
      <c r="E30" s="22">
        <v>9150017</v>
      </c>
      <c r="F30" s="22"/>
      <c r="G30" s="22">
        <v>9764384</v>
      </c>
      <c r="H30" s="22"/>
      <c r="I30" s="22">
        <v>9195882</v>
      </c>
      <c r="J30" s="68">
        <f>+I30/I$35</f>
        <v>0.37778711439368889</v>
      </c>
    </row>
    <row r="31" spans="1:10" x14ac:dyDescent="0.25">
      <c r="B31" s="14" t="s">
        <v>123</v>
      </c>
      <c r="C31" s="22">
        <v>4216523</v>
      </c>
      <c r="D31" s="22"/>
      <c r="E31" s="22">
        <v>3857721</v>
      </c>
      <c r="F31" s="22"/>
      <c r="G31" s="22">
        <v>3709491</v>
      </c>
      <c r="H31" s="22"/>
      <c r="I31" s="22">
        <v>3903650</v>
      </c>
      <c r="J31" s="68">
        <f t="shared" ref="J31:J35" si="1">+I31/I$35</f>
        <v>0.16037055163419056</v>
      </c>
    </row>
    <row r="32" spans="1:10" x14ac:dyDescent="0.25">
      <c r="B32" s="14" t="s">
        <v>124</v>
      </c>
      <c r="C32" s="22">
        <v>9281073</v>
      </c>
      <c r="D32" s="22"/>
      <c r="E32" s="22">
        <v>10680799</v>
      </c>
      <c r="F32" s="22"/>
      <c r="G32" s="22">
        <v>8582597</v>
      </c>
      <c r="H32" s="22"/>
      <c r="I32" s="22">
        <v>10557736</v>
      </c>
      <c r="J32" s="68">
        <f t="shared" si="1"/>
        <v>0.43373508032947433</v>
      </c>
    </row>
    <row r="33" spans="2:11" x14ac:dyDescent="0.25">
      <c r="B33" s="14" t="s">
        <v>125</v>
      </c>
      <c r="C33" s="22">
        <v>168302</v>
      </c>
      <c r="D33" s="22"/>
      <c r="E33" s="22">
        <v>183972</v>
      </c>
      <c r="F33" s="22"/>
      <c r="G33" s="22">
        <v>157252</v>
      </c>
      <c r="H33" s="22"/>
      <c r="I33" s="22">
        <v>185671</v>
      </c>
      <c r="J33" s="68">
        <f t="shared" si="1"/>
        <v>7.6277741837694974E-3</v>
      </c>
    </row>
    <row r="34" spans="2:11" x14ac:dyDescent="0.25">
      <c r="B34" s="14" t="s">
        <v>108</v>
      </c>
      <c r="C34" s="22">
        <v>161559</v>
      </c>
      <c r="D34" s="22"/>
      <c r="E34" s="22">
        <v>20000</v>
      </c>
      <c r="F34" s="22"/>
      <c r="G34" s="22">
        <v>0</v>
      </c>
      <c r="H34" s="22"/>
      <c r="I34" s="22">
        <v>498500</v>
      </c>
      <c r="J34" s="68">
        <f t="shared" si="1"/>
        <v>2.0479479458876692E-2</v>
      </c>
    </row>
    <row r="35" spans="2:11" x14ac:dyDescent="0.25">
      <c r="B35" s="2" t="s">
        <v>25</v>
      </c>
      <c r="C35" s="24">
        <f>SUM(C30:C34)</f>
        <v>22363004</v>
      </c>
      <c r="D35" s="25"/>
      <c r="E35" s="24">
        <f>SUM(E30:E34)</f>
        <v>23892509</v>
      </c>
      <c r="F35" s="25"/>
      <c r="G35" s="24">
        <f>SUM(G30:G34)</f>
        <v>22213724</v>
      </c>
      <c r="H35" s="65"/>
      <c r="I35" s="24">
        <f>SUM(I30:I34)</f>
        <v>24341439</v>
      </c>
      <c r="J35" s="68">
        <f t="shared" si="1"/>
        <v>1</v>
      </c>
      <c r="K35" s="1"/>
    </row>
    <row r="36" spans="2:11" x14ac:dyDescent="0.25">
      <c r="B36" s="5"/>
      <c r="C36" s="7"/>
      <c r="D36" s="6"/>
      <c r="E36" s="7"/>
      <c r="F36" s="7"/>
      <c r="G36" s="7"/>
      <c r="H36" s="57"/>
      <c r="I36" s="7"/>
      <c r="J36" s="68"/>
      <c r="K36" s="1"/>
    </row>
    <row r="37" spans="2:11" x14ac:dyDescent="0.25">
      <c r="B37" s="5"/>
      <c r="C37" s="7"/>
      <c r="D37" s="6"/>
      <c r="E37" s="7"/>
      <c r="F37" s="7"/>
      <c r="G37" s="7"/>
      <c r="H37" s="57"/>
      <c r="I37" s="7"/>
      <c r="J37" s="5"/>
      <c r="K37" s="1"/>
    </row>
    <row r="38" spans="2:11" x14ac:dyDescent="0.25">
      <c r="B38" s="2" t="s">
        <v>184</v>
      </c>
      <c r="C38" s="7"/>
      <c r="D38" s="6"/>
      <c r="E38" s="7"/>
      <c r="F38" s="7"/>
      <c r="G38" s="7"/>
      <c r="H38" s="57"/>
      <c r="I38" s="7"/>
      <c r="J38" s="5"/>
      <c r="K38" s="1"/>
    </row>
    <row r="39" spans="2:11" x14ac:dyDescent="0.25">
      <c r="B39" s="2" t="s">
        <v>185</v>
      </c>
      <c r="C39" s="26">
        <f>+C27-C35</f>
        <v>218642</v>
      </c>
      <c r="D39" s="6"/>
      <c r="E39" s="26">
        <f>+E27-E35</f>
        <v>394841</v>
      </c>
      <c r="F39" s="47"/>
      <c r="G39" s="26">
        <f>+G27-G35</f>
        <v>119884</v>
      </c>
      <c r="H39" s="57"/>
      <c r="I39" s="26">
        <f>+I27-I35</f>
        <v>-61005</v>
      </c>
      <c r="J39" s="5"/>
      <c r="K39" s="1"/>
    </row>
    <row r="40" spans="2:11" x14ac:dyDescent="0.25">
      <c r="B40" s="2"/>
      <c r="C40" s="7"/>
      <c r="D40" s="6"/>
      <c r="E40" s="7"/>
      <c r="F40" s="7"/>
      <c r="G40" s="7"/>
      <c r="H40" s="57"/>
      <c r="I40" s="7"/>
      <c r="J40" s="5"/>
      <c r="K40" s="1"/>
    </row>
    <row r="41" spans="2:11" x14ac:dyDescent="0.25">
      <c r="B41" s="2" t="s">
        <v>197</v>
      </c>
      <c r="C41" s="7"/>
      <c r="D41" s="6"/>
      <c r="E41" s="7"/>
      <c r="F41" s="7"/>
      <c r="G41" s="7"/>
      <c r="H41" s="57"/>
      <c r="I41" s="7"/>
      <c r="J41" s="5"/>
      <c r="K41" s="1"/>
    </row>
    <row r="42" spans="2:11" x14ac:dyDescent="0.25">
      <c r="B42" s="5" t="s">
        <v>29</v>
      </c>
      <c r="C42" s="298">
        <v>1700000</v>
      </c>
      <c r="D42" s="298"/>
      <c r="E42" s="298">
        <v>0</v>
      </c>
      <c r="F42" s="298"/>
      <c r="G42" s="298">
        <v>0</v>
      </c>
      <c r="H42" s="299"/>
      <c r="I42" s="298">
        <v>0</v>
      </c>
      <c r="J42" s="5"/>
      <c r="K42" s="1"/>
    </row>
    <row r="43" spans="2:11" x14ac:dyDescent="0.25">
      <c r="B43" s="5" t="s">
        <v>30</v>
      </c>
      <c r="C43" s="298">
        <v>0</v>
      </c>
      <c r="D43" s="298"/>
      <c r="E43" s="298">
        <v>0</v>
      </c>
      <c r="F43" s="298"/>
      <c r="G43" s="298">
        <v>0</v>
      </c>
      <c r="H43" s="299"/>
      <c r="I43" s="298">
        <v>0</v>
      </c>
      <c r="J43" s="5"/>
      <c r="K43" s="1"/>
    </row>
    <row r="44" spans="2:11" x14ac:dyDescent="0.25">
      <c r="B44" s="17" t="s">
        <v>31</v>
      </c>
      <c r="C44" s="300">
        <f>SUM(C42:C43)</f>
        <v>1700000</v>
      </c>
      <c r="D44" s="301"/>
      <c r="E44" s="300">
        <f>SUM(E42:E43)</f>
        <v>0</v>
      </c>
      <c r="F44" s="301"/>
      <c r="G44" s="300">
        <f>SUM(G42:G43)</f>
        <v>0</v>
      </c>
      <c r="H44" s="299"/>
      <c r="I44" s="300">
        <f>SUM(I42:I43)</f>
        <v>0</v>
      </c>
      <c r="J44" s="5"/>
      <c r="K44" s="1"/>
    </row>
    <row r="45" spans="2:11" x14ac:dyDescent="0.25">
      <c r="B45" s="5"/>
      <c r="C45" s="7"/>
      <c r="D45" s="6"/>
      <c r="E45" s="7"/>
      <c r="F45" s="7"/>
      <c r="G45" s="7"/>
      <c r="H45" s="57"/>
      <c r="I45" s="7"/>
      <c r="J45" s="5"/>
    </row>
    <row r="46" spans="2:11" x14ac:dyDescent="0.25">
      <c r="B46" s="2" t="s">
        <v>217</v>
      </c>
      <c r="C46" s="7"/>
      <c r="D46" s="6"/>
      <c r="E46" s="7"/>
      <c r="F46" s="7"/>
      <c r="G46" s="7"/>
      <c r="H46" s="57"/>
      <c r="I46" s="7"/>
      <c r="J46" s="5"/>
    </row>
    <row r="47" spans="2:11" x14ac:dyDescent="0.25">
      <c r="B47" s="2" t="s">
        <v>32</v>
      </c>
      <c r="C47" s="7"/>
      <c r="D47" s="6"/>
      <c r="E47" s="7"/>
      <c r="F47" s="7"/>
      <c r="G47" s="7"/>
      <c r="H47" s="57"/>
      <c r="I47" s="7"/>
      <c r="J47" s="5"/>
    </row>
    <row r="48" spans="2:11" ht="15.75" thickBot="1" x14ac:dyDescent="0.3">
      <c r="B48" s="2" t="s">
        <v>33</v>
      </c>
      <c r="C48" s="118">
        <f>+C39+C44</f>
        <v>1918642</v>
      </c>
      <c r="D48" s="119"/>
      <c r="E48" s="118">
        <f>+E39+E44</f>
        <v>394841</v>
      </c>
      <c r="F48" s="119"/>
      <c r="G48" s="119">
        <f>+G39+G44</f>
        <v>119884</v>
      </c>
      <c r="H48" s="120"/>
      <c r="I48" s="118">
        <f>+I39+I44</f>
        <v>-61005</v>
      </c>
      <c r="J48" s="5"/>
    </row>
    <row r="49" spans="2:10" ht="15.75" thickTop="1" x14ac:dyDescent="0.25">
      <c r="B49" s="5"/>
      <c r="C49" s="15"/>
      <c r="D49" s="15"/>
      <c r="E49" s="15"/>
      <c r="F49" s="15"/>
      <c r="G49" s="15"/>
      <c r="H49" s="57"/>
      <c r="I49" s="15"/>
      <c r="J49" s="5"/>
    </row>
    <row r="50" spans="2:10" hidden="1" x14ac:dyDescent="0.25">
      <c r="B50" s="14" t="s">
        <v>34</v>
      </c>
      <c r="C50" s="37">
        <v>2495643</v>
      </c>
      <c r="D50" s="16"/>
      <c r="E50" s="15">
        <f>+C51</f>
        <v>4414285</v>
      </c>
      <c r="F50" s="15"/>
      <c r="G50" s="15">
        <f>+C51</f>
        <v>4414285</v>
      </c>
      <c r="H50" s="57"/>
      <c r="I50" s="15">
        <f>+E51</f>
        <v>4809126</v>
      </c>
      <c r="J50" s="5"/>
    </row>
    <row r="51" spans="2:10" ht="15.75" hidden="1" thickBot="1" x14ac:dyDescent="0.3">
      <c r="B51" s="2" t="s">
        <v>35</v>
      </c>
      <c r="C51" s="53">
        <f>SUM(C48:C50)</f>
        <v>4414285</v>
      </c>
      <c r="D51" s="18"/>
      <c r="E51" s="53">
        <f>SUM(E48:E50)</f>
        <v>4809126</v>
      </c>
      <c r="F51" s="18"/>
      <c r="G51" s="53">
        <f>SUM(G48:G50)</f>
        <v>4534169</v>
      </c>
      <c r="H51" s="57"/>
      <c r="I51" s="53">
        <f>SUM(I48:I50)</f>
        <v>4748121</v>
      </c>
      <c r="J51" s="5"/>
    </row>
    <row r="52" spans="2:10" hidden="1" x14ac:dyDescent="0.25">
      <c r="B52" s="5"/>
      <c r="C52" s="7"/>
      <c r="D52" s="6"/>
      <c r="E52" s="7"/>
      <c r="F52" s="7"/>
      <c r="G52" s="7"/>
      <c r="H52" s="57"/>
      <c r="I52" s="7"/>
      <c r="J52" s="5"/>
    </row>
    <row r="53" spans="2:10" x14ac:dyDescent="0.25">
      <c r="D53" s="36"/>
      <c r="I53" s="4"/>
      <c r="J53" s="36"/>
    </row>
    <row r="54" spans="2:10" x14ac:dyDescent="0.25">
      <c r="D54" s="36"/>
      <c r="I54" s="4"/>
      <c r="J54" s="36"/>
    </row>
    <row r="55" spans="2:10" x14ac:dyDescent="0.25">
      <c r="D55" s="36"/>
      <c r="I55" s="4"/>
      <c r="J55" s="36"/>
    </row>
    <row r="56" spans="2:10" x14ac:dyDescent="0.25">
      <c r="D56" s="36"/>
      <c r="I56" s="4"/>
      <c r="J56" s="36"/>
    </row>
    <row r="57" spans="2:10" x14ac:dyDescent="0.25">
      <c r="D57" s="36"/>
      <c r="I57" s="4"/>
      <c r="J57" s="36"/>
    </row>
    <row r="58" spans="2:10" x14ac:dyDescent="0.25">
      <c r="D58" s="36"/>
      <c r="I58" s="4"/>
      <c r="J58" s="36"/>
    </row>
    <row r="59" spans="2:10" x14ac:dyDescent="0.25">
      <c r="D59" s="36"/>
      <c r="J59" s="36"/>
    </row>
    <row r="60" spans="2:10" x14ac:dyDescent="0.25">
      <c r="D60" s="36"/>
      <c r="J60" s="36"/>
    </row>
    <row r="61" spans="2:10" x14ac:dyDescent="0.25">
      <c r="D61" s="36"/>
      <c r="J61" s="36"/>
    </row>
    <row r="62" spans="2:10" x14ac:dyDescent="0.25">
      <c r="D62" s="36"/>
      <c r="J62" s="36"/>
    </row>
    <row r="63" spans="2:10" x14ac:dyDescent="0.25">
      <c r="D63" s="36"/>
      <c r="J63" s="36"/>
    </row>
    <row r="64" spans="2:10" x14ac:dyDescent="0.25">
      <c r="D64" s="36"/>
      <c r="J64" s="36"/>
    </row>
    <row r="65" spans="4:11" x14ac:dyDescent="0.25">
      <c r="D65" s="36"/>
      <c r="J65" s="36"/>
    </row>
    <row r="66" spans="4:11" x14ac:dyDescent="0.25">
      <c r="D66" s="36"/>
      <c r="J66" s="36"/>
    </row>
    <row r="67" spans="4:11" x14ac:dyDescent="0.25">
      <c r="D67" s="36"/>
      <c r="J67" s="36"/>
    </row>
    <row r="68" spans="4:11" x14ac:dyDescent="0.25">
      <c r="D68" s="36"/>
      <c r="J68" s="36"/>
    </row>
    <row r="69" spans="4:11" x14ac:dyDescent="0.25">
      <c r="D69" s="36"/>
      <c r="J69" s="36"/>
    </row>
    <row r="70" spans="4:11" x14ac:dyDescent="0.25">
      <c r="D70" s="36"/>
      <c r="J70" s="36"/>
    </row>
    <row r="71" spans="4:11" x14ac:dyDescent="0.25">
      <c r="D71" s="36"/>
      <c r="J71" s="36"/>
    </row>
    <row r="72" spans="4:11" x14ac:dyDescent="0.25">
      <c r="D72" s="36"/>
      <c r="J72" s="36"/>
    </row>
    <row r="73" spans="4:11" x14ac:dyDescent="0.25">
      <c r="D73" s="36"/>
      <c r="J73" s="36"/>
    </row>
    <row r="74" spans="4:11" x14ac:dyDescent="0.25">
      <c r="D74" s="36"/>
      <c r="J74" s="36"/>
    </row>
    <row r="75" spans="4:11" x14ac:dyDescent="0.25">
      <c r="D75" s="36"/>
      <c r="J75" s="36"/>
    </row>
    <row r="76" spans="4:11" x14ac:dyDescent="0.25">
      <c r="D76" s="36"/>
      <c r="J76" s="36"/>
    </row>
    <row r="77" spans="4:11" x14ac:dyDescent="0.25">
      <c r="D77" s="36"/>
      <c r="J77" s="36"/>
      <c r="K77" s="27" t="str">
        <f>IF(C77=0,"n/a",(+I77-C77)/C77)</f>
        <v>n/a</v>
      </c>
    </row>
    <row r="78" spans="4:11" x14ac:dyDescent="0.25">
      <c r="D78" s="36"/>
      <c r="J78" s="36"/>
      <c r="K78" s="70" t="str">
        <f>IF(C78=0,"n/a",(+I78-C78)/C78)</f>
        <v>n/a</v>
      </c>
    </row>
    <row r="79" spans="4:11" x14ac:dyDescent="0.25">
      <c r="D79" s="36"/>
      <c r="J79" s="36"/>
    </row>
    <row r="80" spans="4:11" x14ac:dyDescent="0.25">
      <c r="D80" s="36"/>
      <c r="J80" s="36"/>
    </row>
    <row r="81" spans="4:10" x14ac:dyDescent="0.25">
      <c r="D81" s="36"/>
      <c r="J81" s="36"/>
    </row>
    <row r="82" spans="4:10" x14ac:dyDescent="0.25">
      <c r="D82" s="36"/>
      <c r="J82" s="36"/>
    </row>
    <row r="83" spans="4:10" x14ac:dyDescent="0.25">
      <c r="D83" s="36"/>
      <c r="J83" s="36"/>
    </row>
    <row r="84" spans="4:10" x14ac:dyDescent="0.25">
      <c r="D84" s="36"/>
      <c r="J84" s="36"/>
    </row>
    <row r="85" spans="4:10" x14ac:dyDescent="0.25">
      <c r="D85" s="36"/>
      <c r="J85" s="36"/>
    </row>
    <row r="86" spans="4:10" x14ac:dyDescent="0.25">
      <c r="D86" s="36"/>
      <c r="J86" s="36"/>
    </row>
    <row r="87" spans="4:10" x14ac:dyDescent="0.25">
      <c r="D87" s="36"/>
      <c r="J87" s="36"/>
    </row>
    <row r="88" spans="4:10" x14ac:dyDescent="0.25">
      <c r="D88" s="36"/>
      <c r="J88" s="36"/>
    </row>
    <row r="89" spans="4:10" x14ac:dyDescent="0.25">
      <c r="D89" s="36"/>
      <c r="J89" s="36"/>
    </row>
    <row r="90" spans="4:10" x14ac:dyDescent="0.25">
      <c r="D90" s="36"/>
      <c r="J90" s="36"/>
    </row>
    <row r="91" spans="4:10" x14ac:dyDescent="0.25">
      <c r="D91" s="36"/>
      <c r="J91" s="36"/>
    </row>
    <row r="92" spans="4:10" x14ac:dyDescent="0.25">
      <c r="D92" s="36"/>
      <c r="J92" s="36"/>
    </row>
    <row r="93" spans="4:10" x14ac:dyDescent="0.25">
      <c r="D93" s="36"/>
      <c r="J93" s="36"/>
    </row>
    <row r="94" spans="4:10" x14ac:dyDescent="0.25">
      <c r="D94" s="36"/>
      <c r="J94" s="36"/>
    </row>
    <row r="95" spans="4:10" x14ac:dyDescent="0.25">
      <c r="D95" s="36"/>
      <c r="J95" s="36"/>
    </row>
    <row r="96" spans="4:10" x14ac:dyDescent="0.25">
      <c r="D96" s="36"/>
      <c r="J96" s="36"/>
    </row>
    <row r="97" spans="4:10" x14ac:dyDescent="0.25">
      <c r="D97" s="36"/>
      <c r="J97" s="36"/>
    </row>
    <row r="98" spans="4:10" x14ac:dyDescent="0.25">
      <c r="D98" s="36"/>
      <c r="J98" s="36"/>
    </row>
    <row r="99" spans="4:10" x14ac:dyDescent="0.25">
      <c r="D99" s="36"/>
      <c r="J99" s="36"/>
    </row>
    <row r="100" spans="4:10" x14ac:dyDescent="0.25">
      <c r="D100" s="36"/>
      <c r="J100" s="36"/>
    </row>
    <row r="101" spans="4:10" x14ac:dyDescent="0.25">
      <c r="D101" s="36"/>
      <c r="J101" s="36"/>
    </row>
    <row r="102" spans="4:10" x14ac:dyDescent="0.25">
      <c r="D102" s="36"/>
      <c r="J102" s="36"/>
    </row>
    <row r="103" spans="4:10" x14ac:dyDescent="0.25">
      <c r="D103" s="36"/>
      <c r="J103" s="36"/>
    </row>
    <row r="104" spans="4:10" x14ac:dyDescent="0.25">
      <c r="D104" s="36"/>
      <c r="J104" s="36"/>
    </row>
    <row r="105" spans="4:10" x14ac:dyDescent="0.25">
      <c r="D105" s="36"/>
      <c r="J105" s="36"/>
    </row>
    <row r="115" spans="11:11" x14ac:dyDescent="0.25">
      <c r="K115" s="66" t="str">
        <f>IF(C115=0,"n/a",(+I115-C115)/C115)</f>
        <v>n/a</v>
      </c>
    </row>
  </sheetData>
  <mergeCells count="3">
    <mergeCell ref="B1:I1"/>
    <mergeCell ref="B2:I2"/>
    <mergeCell ref="B3:I3"/>
  </mergeCells>
  <pageMargins left="0.7" right="0.7" top="0.75" bottom="0.75" header="0.3" footer="0.3"/>
  <pageSetup scale="95" firstPageNumber="7" orientation="portrait" r:id="rId1"/>
  <headerFooter>
    <oddFooter>&amp;C&amp;"Arial,Regular"&amp;10-8-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51"/>
  <sheetViews>
    <sheetView tabSelected="1" zoomScaleNormal="100" workbookViewId="0">
      <selection activeCell="J1" sqref="J1:J1048576"/>
    </sheetView>
  </sheetViews>
  <sheetFormatPr defaultColWidth="9.140625" defaultRowHeight="15" x14ac:dyDescent="0.25"/>
  <cols>
    <col min="1" max="1" width="3.7109375" style="105" customWidth="1"/>
    <col min="2" max="2" width="40.42578125" style="105" customWidth="1"/>
    <col min="3" max="3" width="14" style="106" customWidth="1"/>
    <col min="4" max="4" width="2" style="106" customWidth="1"/>
    <col min="5" max="5" width="14.28515625" style="106" customWidth="1"/>
    <col min="6" max="6" width="2.7109375" style="106" customWidth="1"/>
    <col min="7" max="7" width="13.140625" style="106" hidden="1" customWidth="1"/>
    <col min="8" max="8" width="2.7109375" style="106" hidden="1" customWidth="1"/>
    <col min="9" max="9" width="14" style="106" customWidth="1"/>
    <col min="10" max="10" width="0" style="105" hidden="1" customWidth="1"/>
    <col min="11" max="12" width="9.140625" style="27"/>
    <col min="13" max="13" width="10" style="27" bestFit="1" customWidth="1"/>
    <col min="14" max="16384" width="9.140625" style="27"/>
  </cols>
  <sheetData>
    <row r="1" spans="1:17" x14ac:dyDescent="0.25">
      <c r="B1" s="306" t="s">
        <v>0</v>
      </c>
      <c r="C1" s="306"/>
      <c r="D1" s="306"/>
      <c r="E1" s="306"/>
      <c r="F1" s="306"/>
      <c r="G1" s="306"/>
      <c r="H1" s="306"/>
      <c r="I1" s="306"/>
    </row>
    <row r="2" spans="1:17" x14ac:dyDescent="0.25">
      <c r="A2" s="306" t="s">
        <v>126</v>
      </c>
      <c r="B2" s="306"/>
      <c r="C2" s="306"/>
      <c r="D2" s="306"/>
      <c r="E2" s="306"/>
      <c r="F2" s="306"/>
      <c r="G2" s="306"/>
      <c r="H2" s="306"/>
      <c r="I2" s="306"/>
      <c r="L2" s="36"/>
      <c r="M2" s="36"/>
      <c r="N2" s="36"/>
      <c r="O2" s="36"/>
      <c r="P2" s="36"/>
      <c r="Q2" s="36"/>
    </row>
    <row r="3" spans="1:17" x14ac:dyDescent="0.25">
      <c r="B3" s="307"/>
      <c r="C3" s="307"/>
      <c r="D3" s="307"/>
      <c r="E3" s="307"/>
      <c r="F3" s="307"/>
      <c r="G3" s="307"/>
      <c r="H3" s="307"/>
      <c r="I3" s="307"/>
      <c r="L3" s="36"/>
      <c r="M3" s="36"/>
      <c r="N3" s="36"/>
      <c r="O3" s="36"/>
      <c r="P3" s="36"/>
      <c r="Q3" s="36"/>
    </row>
    <row r="4" spans="1:17" x14ac:dyDescent="0.25">
      <c r="B4" s="19" t="s">
        <v>178</v>
      </c>
      <c r="C4" s="78">
        <v>0.38</v>
      </c>
      <c r="D4" s="19"/>
      <c r="E4" s="78">
        <v>0.36749999999999999</v>
      </c>
      <c r="F4" s="19"/>
      <c r="G4" s="78">
        <v>0.38</v>
      </c>
      <c r="H4" s="89"/>
      <c r="I4" s="78">
        <v>0.36749999999999999</v>
      </c>
      <c r="L4" s="36"/>
      <c r="M4" s="36"/>
      <c r="N4" s="36"/>
      <c r="O4" s="36"/>
      <c r="P4" s="36"/>
      <c r="Q4" s="36"/>
    </row>
    <row r="5" spans="1:17" x14ac:dyDescent="0.25">
      <c r="B5" s="8"/>
      <c r="C5" s="8"/>
      <c r="D5" s="8"/>
      <c r="E5" s="8"/>
      <c r="F5" s="8"/>
      <c r="G5" s="8"/>
      <c r="H5" s="91"/>
      <c r="I5" s="294" t="s">
        <v>190</v>
      </c>
      <c r="L5" s="36"/>
      <c r="M5" s="36"/>
      <c r="N5" s="36"/>
      <c r="O5" s="36"/>
      <c r="P5" s="36"/>
      <c r="Q5" s="36"/>
    </row>
    <row r="6" spans="1:17" x14ac:dyDescent="0.25">
      <c r="B6" s="9"/>
      <c r="C6" s="61" t="s">
        <v>1</v>
      </c>
      <c r="D6" s="92"/>
      <c r="E6" s="61" t="s">
        <v>189</v>
      </c>
      <c r="F6" s="61"/>
      <c r="G6" s="61" t="s">
        <v>44</v>
      </c>
      <c r="H6" s="62"/>
      <c r="I6" s="55" t="s">
        <v>152</v>
      </c>
      <c r="L6" s="36"/>
      <c r="M6" s="36"/>
      <c r="N6" s="36"/>
      <c r="O6" s="36"/>
      <c r="P6" s="36"/>
      <c r="Q6" s="36"/>
    </row>
    <row r="7" spans="1:17" x14ac:dyDescent="0.25">
      <c r="B7" s="9"/>
      <c r="C7" s="61" t="s">
        <v>45</v>
      </c>
      <c r="D7" s="62"/>
      <c r="E7" s="61" t="s">
        <v>2</v>
      </c>
      <c r="F7" s="61"/>
      <c r="G7" s="108" t="s">
        <v>45</v>
      </c>
      <c r="H7" s="92"/>
      <c r="I7" s="61" t="s">
        <v>2</v>
      </c>
      <c r="L7" s="36"/>
      <c r="M7" s="36"/>
      <c r="N7" s="36"/>
      <c r="O7" s="36"/>
      <c r="P7" s="36"/>
      <c r="Q7" s="36"/>
    </row>
    <row r="8" spans="1:17" x14ac:dyDescent="0.25">
      <c r="B8" s="92"/>
      <c r="C8" s="63" t="s">
        <v>174</v>
      </c>
      <c r="D8" s="64"/>
      <c r="E8" s="63" t="s">
        <v>175</v>
      </c>
      <c r="F8" s="46"/>
      <c r="G8" s="63" t="s">
        <v>167</v>
      </c>
      <c r="H8" s="92"/>
      <c r="I8" s="63" t="s">
        <v>181</v>
      </c>
      <c r="L8" s="36"/>
      <c r="M8" s="36"/>
      <c r="N8" s="36"/>
      <c r="O8" s="36"/>
      <c r="P8" s="36"/>
      <c r="Q8" s="36"/>
    </row>
    <row r="9" spans="1:17" x14ac:dyDescent="0.25">
      <c r="A9" s="2" t="s">
        <v>3</v>
      </c>
      <c r="C9" s="85"/>
      <c r="D9" s="91"/>
      <c r="E9" s="85"/>
      <c r="F9" s="85"/>
      <c r="G9" s="85"/>
      <c r="H9" s="92"/>
      <c r="I9" s="85"/>
      <c r="L9" s="36"/>
      <c r="M9" s="36"/>
      <c r="N9" s="36"/>
      <c r="O9" s="36"/>
      <c r="P9" s="36"/>
      <c r="Q9" s="36"/>
    </row>
    <row r="10" spans="1:17" x14ac:dyDescent="0.25">
      <c r="A10" s="2" t="s">
        <v>116</v>
      </c>
      <c r="C10" s="85"/>
      <c r="D10" s="91"/>
      <c r="E10" s="85"/>
      <c r="F10" s="85"/>
      <c r="G10" s="85"/>
      <c r="H10" s="92"/>
      <c r="I10" s="85"/>
      <c r="J10" s="293"/>
      <c r="L10" s="36"/>
      <c r="M10" s="36"/>
      <c r="N10" s="36"/>
      <c r="O10" s="36"/>
      <c r="P10" s="36"/>
      <c r="Q10" s="36"/>
    </row>
    <row r="11" spans="1:17" x14ac:dyDescent="0.25">
      <c r="B11" s="56" t="s">
        <v>127</v>
      </c>
      <c r="C11" s="58">
        <v>123058986</v>
      </c>
      <c r="D11" s="58"/>
      <c r="E11" s="58">
        <v>130058891</v>
      </c>
      <c r="F11" s="58"/>
      <c r="G11" s="58">
        <v>124293111</v>
      </c>
      <c r="H11" s="58"/>
      <c r="I11" s="58">
        <v>141498990</v>
      </c>
      <c r="J11" s="293">
        <f>+I11/I$22</f>
        <v>0.978183531049025</v>
      </c>
      <c r="L11" s="36"/>
      <c r="M11" s="36"/>
      <c r="N11" s="36"/>
      <c r="O11" s="36"/>
      <c r="P11" s="36"/>
      <c r="Q11" s="36"/>
    </row>
    <row r="12" spans="1:17" x14ac:dyDescent="0.25">
      <c r="B12" s="56" t="s">
        <v>128</v>
      </c>
      <c r="C12" s="65">
        <v>1196044</v>
      </c>
      <c r="D12" s="58"/>
      <c r="E12" s="65">
        <v>100000</v>
      </c>
      <c r="F12" s="65"/>
      <c r="G12" s="65">
        <v>909867</v>
      </c>
      <c r="H12" s="58"/>
      <c r="I12" s="65">
        <v>100000</v>
      </c>
      <c r="J12" s="293">
        <f t="shared" ref="J12:J22" si="0">+I12/I$22</f>
        <v>6.9130071603269044E-4</v>
      </c>
      <c r="L12" s="36"/>
      <c r="M12" s="36"/>
      <c r="N12" s="36"/>
      <c r="O12" s="36"/>
      <c r="P12" s="36"/>
      <c r="Q12" s="36"/>
    </row>
    <row r="13" spans="1:17" x14ac:dyDescent="0.25">
      <c r="B13" s="56" t="s">
        <v>129</v>
      </c>
      <c r="C13" s="65">
        <v>538332</v>
      </c>
      <c r="D13" s="58"/>
      <c r="E13" s="65">
        <v>100000</v>
      </c>
      <c r="F13" s="65"/>
      <c r="G13" s="65">
        <v>478185</v>
      </c>
      <c r="H13" s="58"/>
      <c r="I13" s="65">
        <v>100000</v>
      </c>
      <c r="J13" s="293">
        <f t="shared" si="0"/>
        <v>6.9130071603269044E-4</v>
      </c>
      <c r="L13" s="36"/>
      <c r="M13" s="36"/>
      <c r="N13" s="36"/>
      <c r="O13" s="36"/>
      <c r="P13" s="36"/>
      <c r="Q13" s="36"/>
    </row>
    <row r="14" spans="1:17" x14ac:dyDescent="0.25">
      <c r="B14" s="56" t="s">
        <v>130</v>
      </c>
      <c r="C14" s="65">
        <v>661825</v>
      </c>
      <c r="D14" s="58"/>
      <c r="E14" s="65">
        <v>50000</v>
      </c>
      <c r="F14" s="65"/>
      <c r="G14" s="65">
        <v>510745</v>
      </c>
      <c r="H14" s="58"/>
      <c r="I14" s="65">
        <v>500000</v>
      </c>
      <c r="J14" s="293">
        <f t="shared" si="0"/>
        <v>3.4565035801634521E-3</v>
      </c>
      <c r="L14" s="36"/>
      <c r="M14" s="36"/>
      <c r="N14" s="36"/>
      <c r="O14" s="36"/>
      <c r="P14" s="36"/>
      <c r="Q14" s="36"/>
    </row>
    <row r="15" spans="1:17" x14ac:dyDescent="0.25">
      <c r="B15" s="56"/>
      <c r="C15" s="65"/>
      <c r="D15" s="58"/>
      <c r="E15" s="65"/>
      <c r="F15" s="65"/>
      <c r="G15" s="65"/>
      <c r="H15" s="58"/>
      <c r="I15" s="65"/>
      <c r="J15" s="293"/>
      <c r="L15" s="36"/>
      <c r="M15" s="36"/>
      <c r="N15" s="36"/>
      <c r="O15" s="36"/>
      <c r="P15" s="36"/>
      <c r="Q15" s="36"/>
    </row>
    <row r="16" spans="1:17" s="66" customFormat="1" x14ac:dyDescent="0.25">
      <c r="A16" s="2" t="s">
        <v>117</v>
      </c>
      <c r="B16" s="56"/>
      <c r="C16" s="65"/>
      <c r="D16" s="58"/>
      <c r="E16" s="65"/>
      <c r="F16" s="65"/>
      <c r="G16" s="65"/>
      <c r="H16" s="58"/>
      <c r="I16" s="65"/>
      <c r="J16" s="293"/>
      <c r="L16" s="36"/>
      <c r="M16" s="36"/>
      <c r="N16" s="36"/>
      <c r="O16" s="36"/>
      <c r="P16" s="36"/>
      <c r="Q16" s="36"/>
    </row>
    <row r="17" spans="1:17" s="66" customFormat="1" x14ac:dyDescent="0.25">
      <c r="A17" s="105"/>
      <c r="B17" s="56" t="s">
        <v>166</v>
      </c>
      <c r="C17" s="65">
        <v>2472502</v>
      </c>
      <c r="D17" s="58"/>
      <c r="E17" s="65">
        <v>1603758</v>
      </c>
      <c r="F17" s="65"/>
      <c r="G17" s="65">
        <v>2292127</v>
      </c>
      <c r="H17" s="58"/>
      <c r="I17" s="65">
        <v>1966051</v>
      </c>
      <c r="J17" s="293">
        <f t="shared" si="0"/>
        <v>1.3591324640567871E-2</v>
      </c>
      <c r="L17" s="36"/>
      <c r="M17" s="36"/>
      <c r="N17" s="36"/>
      <c r="O17" s="36"/>
      <c r="P17" s="36"/>
      <c r="Q17" s="36"/>
    </row>
    <row r="18" spans="1:17" s="66" customFormat="1" x14ac:dyDescent="0.25">
      <c r="A18" s="105"/>
      <c r="B18" s="56"/>
      <c r="C18" s="65"/>
      <c r="D18" s="58"/>
      <c r="E18" s="65"/>
      <c r="F18" s="65"/>
      <c r="G18" s="65"/>
      <c r="H18" s="58"/>
      <c r="I18" s="65"/>
      <c r="J18" s="293"/>
      <c r="L18" s="36"/>
      <c r="M18" s="36"/>
      <c r="N18" s="36"/>
      <c r="O18" s="36"/>
      <c r="P18" s="36"/>
      <c r="Q18" s="36"/>
    </row>
    <row r="19" spans="1:17" x14ac:dyDescent="0.25">
      <c r="A19" s="2" t="s">
        <v>153</v>
      </c>
      <c r="B19" s="56"/>
      <c r="C19" s="65"/>
      <c r="D19" s="58"/>
      <c r="E19" s="65"/>
      <c r="F19" s="65"/>
      <c r="G19" s="65"/>
      <c r="H19" s="58"/>
      <c r="I19" s="65"/>
      <c r="J19" s="293"/>
      <c r="L19" s="36"/>
      <c r="M19" s="36"/>
      <c r="N19" s="36"/>
      <c r="O19" s="36"/>
      <c r="P19" s="36"/>
      <c r="Q19" s="36"/>
    </row>
    <row r="20" spans="1:17" x14ac:dyDescent="0.25">
      <c r="B20" s="56" t="s">
        <v>154</v>
      </c>
      <c r="C20" s="65">
        <v>489807</v>
      </c>
      <c r="D20" s="58"/>
      <c r="E20" s="65">
        <v>490334</v>
      </c>
      <c r="F20" s="65"/>
      <c r="G20" s="65">
        <v>490334</v>
      </c>
      <c r="H20" s="58"/>
      <c r="I20" s="65">
        <v>489807</v>
      </c>
      <c r="J20" s="293">
        <f t="shared" si="0"/>
        <v>3.3860392981782403E-3</v>
      </c>
      <c r="L20" s="36"/>
      <c r="M20" s="36"/>
      <c r="N20" s="36"/>
      <c r="O20" s="36"/>
      <c r="P20" s="36"/>
      <c r="Q20" s="36"/>
    </row>
    <row r="21" spans="1:17" x14ac:dyDescent="0.25">
      <c r="B21" s="56"/>
      <c r="C21" s="65"/>
      <c r="D21" s="85"/>
      <c r="E21" s="65"/>
      <c r="F21" s="65"/>
      <c r="G21" s="65"/>
      <c r="H21" s="92"/>
      <c r="I21" s="65"/>
      <c r="J21" s="293"/>
      <c r="L21" s="36"/>
      <c r="M21" s="36"/>
      <c r="N21" s="36"/>
      <c r="O21" s="36"/>
      <c r="P21" s="36"/>
      <c r="Q21" s="36"/>
    </row>
    <row r="22" spans="1:17" x14ac:dyDescent="0.25">
      <c r="B22" s="49" t="s">
        <v>201</v>
      </c>
      <c r="C22" s="94">
        <f>SUM(C11:C21)</f>
        <v>128417496</v>
      </c>
      <c r="D22" s="89"/>
      <c r="E22" s="94">
        <f>SUM(E11:E21)</f>
        <v>132402983</v>
      </c>
      <c r="F22" s="89"/>
      <c r="G22" s="94">
        <f>SUM(G11:G21)</f>
        <v>128974369</v>
      </c>
      <c r="H22" s="92"/>
      <c r="I22" s="94">
        <f>SUM(I11:I21)</f>
        <v>144654848</v>
      </c>
      <c r="J22" s="293">
        <f t="shared" si="0"/>
        <v>1</v>
      </c>
    </row>
    <row r="23" spans="1:17" x14ac:dyDescent="0.25">
      <c r="B23" s="92"/>
      <c r="C23" s="85"/>
      <c r="D23" s="91"/>
      <c r="E23" s="85"/>
      <c r="F23" s="85"/>
      <c r="G23" s="85"/>
      <c r="H23" s="92"/>
      <c r="I23" s="85"/>
      <c r="J23" s="293"/>
    </row>
    <row r="24" spans="1:17" x14ac:dyDescent="0.25">
      <c r="A24" s="2" t="s">
        <v>4</v>
      </c>
      <c r="C24" s="85"/>
      <c r="D24" s="91"/>
      <c r="E24" s="85"/>
      <c r="F24" s="85"/>
      <c r="G24" s="85"/>
      <c r="H24" s="92"/>
      <c r="I24" s="85"/>
      <c r="J24" s="293"/>
    </row>
    <row r="25" spans="1:17" x14ac:dyDescent="0.25">
      <c r="B25" s="56" t="s">
        <v>131</v>
      </c>
      <c r="C25" s="65">
        <v>57663384</v>
      </c>
      <c r="D25" s="65"/>
      <c r="E25" s="65">
        <v>74855515</v>
      </c>
      <c r="F25" s="65"/>
      <c r="G25" s="65">
        <v>60063384</v>
      </c>
      <c r="H25" s="65"/>
      <c r="I25" s="65">
        <v>80490665</v>
      </c>
      <c r="J25" s="293">
        <f>+I25/I$28</f>
        <v>0.57950493235691147</v>
      </c>
    </row>
    <row r="26" spans="1:17" x14ac:dyDescent="0.25">
      <c r="B26" s="56" t="s">
        <v>132</v>
      </c>
      <c r="C26" s="65">
        <v>57479032</v>
      </c>
      <c r="D26" s="65"/>
      <c r="E26" s="65">
        <v>56320302</v>
      </c>
      <c r="F26" s="65"/>
      <c r="G26" s="65">
        <f>22221481+34204609</f>
        <v>56426090</v>
      </c>
      <c r="H26" s="65"/>
      <c r="I26" s="65">
        <v>58204900</v>
      </c>
      <c r="J26" s="293">
        <f t="shared" ref="J26:J28" si="1">+I26/I$28</f>
        <v>0.41905513685768153</v>
      </c>
    </row>
    <row r="27" spans="1:17" x14ac:dyDescent="0.25">
      <c r="B27" s="56" t="s">
        <v>133</v>
      </c>
      <c r="C27" s="65">
        <v>0</v>
      </c>
      <c r="D27" s="65"/>
      <c r="E27" s="65">
        <v>200000</v>
      </c>
      <c r="F27" s="65"/>
      <c r="G27" s="65">
        <v>131014578</v>
      </c>
      <c r="H27" s="65"/>
      <c r="I27" s="65">
        <v>200000</v>
      </c>
      <c r="J27" s="293">
        <f t="shared" si="1"/>
        <v>1.4399307854070071E-3</v>
      </c>
    </row>
    <row r="28" spans="1:17" x14ac:dyDescent="0.25">
      <c r="B28" s="2" t="s">
        <v>25</v>
      </c>
      <c r="C28" s="81">
        <f>SUM(C25:C27)</f>
        <v>115142416</v>
      </c>
      <c r="D28" s="95"/>
      <c r="E28" s="81">
        <f>SUM(E25:E27)</f>
        <v>131375817</v>
      </c>
      <c r="F28" s="95"/>
      <c r="G28" s="81">
        <f>SUM(G25:G27)</f>
        <v>247504052</v>
      </c>
      <c r="H28" s="65"/>
      <c r="I28" s="81">
        <f>SUM(I25:I27)</f>
        <v>138895565</v>
      </c>
      <c r="J28" s="293">
        <f t="shared" si="1"/>
        <v>1</v>
      </c>
      <c r="M28" s="74"/>
    </row>
    <row r="29" spans="1:17" x14ac:dyDescent="0.25">
      <c r="B29" s="92"/>
      <c r="C29" s="85"/>
      <c r="D29" s="91"/>
      <c r="E29" s="85"/>
      <c r="F29" s="85"/>
      <c r="G29" s="85"/>
      <c r="H29" s="92"/>
      <c r="I29" s="85"/>
      <c r="J29" s="293"/>
    </row>
    <row r="30" spans="1:17" x14ac:dyDescent="0.25">
      <c r="B30" s="92"/>
      <c r="C30" s="85"/>
      <c r="D30" s="91"/>
      <c r="E30" s="85"/>
      <c r="F30" s="85"/>
      <c r="G30" s="85"/>
      <c r="H30" s="92"/>
      <c r="I30" s="85"/>
      <c r="J30" s="293"/>
    </row>
    <row r="31" spans="1:17" x14ac:dyDescent="0.25">
      <c r="B31" s="2" t="s">
        <v>184</v>
      </c>
      <c r="C31" s="85"/>
      <c r="D31" s="91"/>
      <c r="E31" s="85"/>
      <c r="F31" s="85"/>
      <c r="G31" s="85"/>
      <c r="H31" s="92"/>
      <c r="I31" s="85"/>
      <c r="J31" s="293"/>
    </row>
    <row r="32" spans="1:17" x14ac:dyDescent="0.25">
      <c r="B32" s="2" t="s">
        <v>185</v>
      </c>
      <c r="C32" s="96">
        <f>+C22-C28</f>
        <v>13275080</v>
      </c>
      <c r="D32" s="91"/>
      <c r="E32" s="96">
        <f>+E22-E28</f>
        <v>1027166</v>
      </c>
      <c r="F32" s="100"/>
      <c r="G32" s="96">
        <f>+G22-G28</f>
        <v>-118529683</v>
      </c>
      <c r="H32" s="92"/>
      <c r="I32" s="96">
        <f>+I22-I28</f>
        <v>5759283</v>
      </c>
      <c r="J32" s="293"/>
    </row>
    <row r="33" spans="2:10" x14ac:dyDescent="0.25">
      <c r="B33" s="2"/>
      <c r="C33" s="85"/>
      <c r="D33" s="91"/>
      <c r="E33" s="85"/>
      <c r="F33" s="85"/>
      <c r="G33" s="85"/>
      <c r="H33" s="92"/>
      <c r="I33" s="85"/>
      <c r="J33" s="293"/>
    </row>
    <row r="34" spans="2:10" x14ac:dyDescent="0.25">
      <c r="B34" s="2" t="s">
        <v>197</v>
      </c>
      <c r="C34" s="85"/>
      <c r="D34" s="91"/>
      <c r="E34" s="85"/>
      <c r="F34" s="85"/>
      <c r="G34" s="85"/>
      <c r="H34" s="92"/>
      <c r="I34" s="85"/>
      <c r="J34" s="293"/>
    </row>
    <row r="35" spans="2:10" x14ac:dyDescent="0.25">
      <c r="B35" s="92" t="s">
        <v>29</v>
      </c>
      <c r="C35" s="77">
        <v>80117758</v>
      </c>
      <c r="D35" s="91"/>
      <c r="E35" s="297">
        <v>0</v>
      </c>
      <c r="F35" s="77"/>
      <c r="G35" s="77">
        <v>0</v>
      </c>
      <c r="H35" s="92"/>
      <c r="I35" s="297">
        <v>0</v>
      </c>
      <c r="J35" s="293"/>
    </row>
    <row r="36" spans="2:10" x14ac:dyDescent="0.25">
      <c r="B36" s="92" t="s">
        <v>30</v>
      </c>
      <c r="C36" s="77">
        <v>-79527330</v>
      </c>
      <c r="D36" s="77"/>
      <c r="E36" s="77">
        <v>-10000000</v>
      </c>
      <c r="F36" s="77"/>
      <c r="G36" s="77">
        <v>0</v>
      </c>
      <c r="H36" s="92"/>
      <c r="I36" s="297">
        <v>-5000000</v>
      </c>
      <c r="J36" s="293"/>
    </row>
    <row r="37" spans="2:10" x14ac:dyDescent="0.25">
      <c r="B37" s="17" t="s">
        <v>31</v>
      </c>
      <c r="C37" s="97">
        <f>SUM(C35:C36)</f>
        <v>590428</v>
      </c>
      <c r="D37" s="89"/>
      <c r="E37" s="97">
        <f>SUM(E35:E36)</f>
        <v>-10000000</v>
      </c>
      <c r="F37" s="100"/>
      <c r="G37" s="97">
        <f>+G35-G36</f>
        <v>0</v>
      </c>
      <c r="H37" s="92"/>
      <c r="I37" s="295">
        <f>SUM(I35:I36)</f>
        <v>-5000000</v>
      </c>
      <c r="J37" s="293"/>
    </row>
    <row r="38" spans="2:10" x14ac:dyDescent="0.25">
      <c r="B38" s="92"/>
      <c r="C38" s="85"/>
      <c r="D38" s="91"/>
      <c r="E38" s="85"/>
      <c r="F38" s="85"/>
      <c r="G38" s="85"/>
      <c r="H38" s="92"/>
      <c r="I38" s="85"/>
      <c r="J38" s="293"/>
    </row>
    <row r="39" spans="2:10" x14ac:dyDescent="0.25">
      <c r="B39" s="2" t="s">
        <v>217</v>
      </c>
      <c r="C39" s="85"/>
      <c r="D39" s="91"/>
      <c r="E39" s="85"/>
      <c r="F39" s="85"/>
      <c r="G39" s="85"/>
      <c r="H39" s="92"/>
      <c r="I39" s="85"/>
      <c r="J39" s="293"/>
    </row>
    <row r="40" spans="2:10" x14ac:dyDescent="0.25">
      <c r="B40" s="2" t="s">
        <v>32</v>
      </c>
      <c r="C40" s="85"/>
      <c r="D40" s="91"/>
      <c r="E40" s="85"/>
      <c r="F40" s="85"/>
      <c r="G40" s="85"/>
      <c r="H40" s="92"/>
      <c r="I40" s="85"/>
      <c r="J40" s="293"/>
    </row>
    <row r="41" spans="2:10" ht="15.75" thickBot="1" x14ac:dyDescent="0.3">
      <c r="B41" s="2" t="s">
        <v>33</v>
      </c>
      <c r="C41" s="117">
        <f>+C32+C37</f>
        <v>13865508</v>
      </c>
      <c r="D41" s="291"/>
      <c r="E41" s="117">
        <f>+E32+E37</f>
        <v>-8972834</v>
      </c>
      <c r="F41" s="291"/>
      <c r="G41" s="291">
        <f>+G32+G37</f>
        <v>-118529683</v>
      </c>
      <c r="H41" s="292"/>
      <c r="I41" s="117">
        <f>+I32+I37</f>
        <v>759283</v>
      </c>
    </row>
    <row r="42" spans="2:10" ht="15.75" thickTop="1" x14ac:dyDescent="0.25">
      <c r="B42" s="92"/>
      <c r="C42" s="77"/>
      <c r="D42" s="77"/>
      <c r="E42" s="77"/>
      <c r="F42" s="77"/>
      <c r="G42" s="77"/>
      <c r="H42" s="92"/>
      <c r="I42" s="77"/>
    </row>
    <row r="43" spans="2:10" hidden="1" x14ac:dyDescent="0.25">
      <c r="B43" s="56" t="s">
        <v>34</v>
      </c>
      <c r="C43" s="102">
        <v>29411804</v>
      </c>
      <c r="D43" s="99"/>
      <c r="E43" s="77">
        <f>+C44</f>
        <v>43277312</v>
      </c>
      <c r="F43" s="77"/>
      <c r="G43" s="77">
        <f>+C44</f>
        <v>43277312</v>
      </c>
      <c r="H43" s="92"/>
      <c r="I43" s="77">
        <f>+E44</f>
        <v>34304478</v>
      </c>
    </row>
    <row r="44" spans="2:10" ht="15.75" hidden="1" thickBot="1" x14ac:dyDescent="0.3">
      <c r="B44" s="2" t="s">
        <v>35</v>
      </c>
      <c r="C44" s="103">
        <f>SUM(C41:C43)</f>
        <v>43277312</v>
      </c>
      <c r="D44" s="104"/>
      <c r="E44" s="103">
        <f>SUM(E41:E43)</f>
        <v>34304478</v>
      </c>
      <c r="F44" s="104"/>
      <c r="G44" s="103">
        <f>SUM(G41:G43)</f>
        <v>-75252371</v>
      </c>
      <c r="H44" s="92"/>
      <c r="I44" s="103">
        <f>SUM(I41:I43)</f>
        <v>35063761</v>
      </c>
    </row>
    <row r="45" spans="2:10" ht="15.75" hidden="1" thickTop="1" x14ac:dyDescent="0.25">
      <c r="B45" s="92"/>
      <c r="C45" s="85"/>
      <c r="D45" s="91"/>
      <c r="E45" s="85"/>
      <c r="F45" s="85"/>
      <c r="G45" s="85"/>
      <c r="H45" s="92"/>
      <c r="I45" s="85"/>
    </row>
    <row r="46" spans="2:10" hidden="1" x14ac:dyDescent="0.25">
      <c r="I46" s="85"/>
    </row>
    <row r="47" spans="2:10" x14ac:dyDescent="0.25">
      <c r="I47" s="85"/>
    </row>
    <row r="48" spans="2:10" x14ac:dyDescent="0.25">
      <c r="I48" s="85"/>
    </row>
    <row r="49" spans="9:9" x14ac:dyDescent="0.25">
      <c r="I49" s="85"/>
    </row>
    <row r="50" spans="9:9" x14ac:dyDescent="0.25">
      <c r="I50" s="85"/>
    </row>
    <row r="51" spans="9:9" x14ac:dyDescent="0.25">
      <c r="I51" s="85"/>
    </row>
  </sheetData>
  <mergeCells count="3">
    <mergeCell ref="B3:I3"/>
    <mergeCell ref="B1:I1"/>
    <mergeCell ref="A2:I2"/>
  </mergeCells>
  <pageMargins left="0.7" right="0.7" top="0.75" bottom="0.75" header="0.3" footer="0.3"/>
  <pageSetup scale="99" firstPageNumber="8" orientation="portrait" r:id="rId1"/>
  <headerFooter>
    <oddFooter>&amp;C&amp;"Arial,Regular"&amp;10-9-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Cover</vt:lpstr>
      <vt:lpstr>comb funds by func</vt:lpstr>
      <vt:lpstr>Cover Supporting Sch</vt:lpstr>
      <vt:lpstr>GF by funct</vt:lpstr>
      <vt:lpstr>GF Rev by Obj</vt:lpstr>
      <vt:lpstr>GF exp by funct and maj obj</vt:lpstr>
      <vt:lpstr>GF Exp by Maj Obj</vt:lpstr>
      <vt:lpstr>FS Fund</vt:lpstr>
      <vt:lpstr>DS Fund</vt:lpstr>
      <vt:lpstr>Cover!Print_Area</vt:lpstr>
      <vt:lpstr>'Cover Supporting Sch'!Print_Area</vt:lpstr>
      <vt:lpstr>'DS Fund'!Print_Area</vt:lpstr>
      <vt:lpstr>'FS Fund'!Print_Area</vt:lpstr>
      <vt:lpstr>'GF by funct'!Print_Area</vt:lpstr>
      <vt:lpstr>'GF exp by funct and maj obj'!Print_Area</vt:lpstr>
      <vt:lpstr>'GF Rev by Obj'!Print_Area</vt:lpstr>
      <vt:lpstr>Print_Area</vt:lpstr>
    </vt:vector>
  </TitlesOfParts>
  <Company>Lewisville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Maniscalco</dc:creator>
  <cp:lastModifiedBy>Trevino, Rosemary</cp:lastModifiedBy>
  <cp:lastPrinted>2018-07-27T13:32:04Z</cp:lastPrinted>
  <dcterms:created xsi:type="dcterms:W3CDTF">2011-07-09T17:36:36Z</dcterms:created>
  <dcterms:modified xsi:type="dcterms:W3CDTF">2018-09-07T13:00:32Z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