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5120" windowHeight="7185" tabRatio="747"/>
  </bookViews>
  <sheets>
    <sheet name="Cover" sheetId="10" r:id="rId1"/>
    <sheet name="comb funds by func" sheetId="1" r:id="rId2"/>
    <sheet name="Cover Supporting Sch" sheetId="11" r:id="rId3"/>
    <sheet name="GF by funct" sheetId="9" r:id="rId4"/>
    <sheet name="GF Rev" sheetId="2" r:id="rId5"/>
    <sheet name="GF exp by funct by maj obj" sheetId="3" r:id="rId6"/>
    <sheet name="GF Maj Obj" sheetId="4" r:id="rId7"/>
    <sheet name="FS Fund" sheetId="5" r:id="rId8"/>
    <sheet name="DS Fund" sheetId="6" r:id="rId9"/>
  </sheets>
  <definedNames>
    <definedName name="_xlnm.Print_Area" localSheetId="0">Cover!$A$1:$L$37</definedName>
    <definedName name="_xlnm.Print_Area" localSheetId="2">'Cover Supporting Sch'!$A$1:$L$37</definedName>
    <definedName name="_xlnm.Print_Area" localSheetId="8">'DS Fund'!$A$1:$I$55</definedName>
    <definedName name="_xlnm.Print_Area" localSheetId="7">'FS Fund'!$A$1:$I$55</definedName>
    <definedName name="_xlnm.Print_Area" localSheetId="3">'GF by funct'!$A$1:$G$55</definedName>
    <definedName name="_xlnm.Print_Area" localSheetId="5">'GF exp by funct by maj obj'!$A$1:$M$162</definedName>
    <definedName name="_xlnm.Print_Area" localSheetId="4">'GF Rev'!$A$1:$J$57</definedName>
    <definedName name="_xlnm.Print_Area">Cover!$A$4:$J$38</definedName>
  </definedNames>
  <calcPr calcId="145621" concurrentCalc="0"/>
</workbook>
</file>

<file path=xl/calcChain.xml><?xml version="1.0" encoding="utf-8"?>
<calcChain xmlns="http://schemas.openxmlformats.org/spreadsheetml/2006/main">
  <c r="C51" i="9" l="1"/>
  <c r="E50" i="9"/>
  <c r="E51" i="9"/>
  <c r="F50" i="9"/>
  <c r="F51" i="9"/>
  <c r="D50" i="9"/>
  <c r="D51" i="9"/>
  <c r="K140" i="3"/>
  <c r="I50" i="5"/>
  <c r="I43" i="6"/>
  <c r="I158" i="3"/>
  <c r="F36" i="9"/>
  <c r="I154" i="3"/>
  <c r="F35" i="9"/>
  <c r="I150" i="3"/>
  <c r="F34" i="9"/>
  <c r="I141" i="3"/>
  <c r="F32" i="9"/>
  <c r="I136" i="3"/>
  <c r="F31" i="9"/>
  <c r="I129" i="3"/>
  <c r="F30" i="9"/>
  <c r="I121" i="3"/>
  <c r="F29" i="9"/>
  <c r="I105" i="3"/>
  <c r="F28" i="9"/>
  <c r="I96" i="3"/>
  <c r="I97" i="3"/>
  <c r="F27" i="9"/>
  <c r="I90" i="3"/>
  <c r="F26" i="9"/>
  <c r="I82" i="3"/>
  <c r="F25" i="9"/>
  <c r="I74" i="3"/>
  <c r="F24" i="9"/>
  <c r="I68" i="3"/>
  <c r="I69" i="3"/>
  <c r="F23" i="9"/>
  <c r="I62" i="3"/>
  <c r="F22" i="9"/>
  <c r="I49" i="3"/>
  <c r="F21" i="9"/>
  <c r="I42" i="3"/>
  <c r="F20" i="9"/>
  <c r="I35" i="3"/>
  <c r="F19" i="9"/>
  <c r="I28" i="3"/>
  <c r="F18" i="9"/>
  <c r="I21" i="3"/>
  <c r="F17" i="9"/>
  <c r="I14" i="3"/>
  <c r="F16" i="9"/>
  <c r="F12" i="9"/>
  <c r="F11" i="9"/>
  <c r="F10" i="9"/>
  <c r="F9" i="9"/>
  <c r="C158" i="3"/>
  <c r="D36" i="9"/>
  <c r="C154" i="3"/>
  <c r="D35" i="9"/>
  <c r="C150" i="3"/>
  <c r="D34" i="9"/>
  <c r="C141" i="3"/>
  <c r="D32" i="9"/>
  <c r="C136" i="3"/>
  <c r="D31" i="9"/>
  <c r="C129" i="3"/>
  <c r="D30" i="9"/>
  <c r="C121" i="3"/>
  <c r="D29" i="9"/>
  <c r="C105" i="3"/>
  <c r="D28" i="9"/>
  <c r="C97" i="3"/>
  <c r="D27" i="9"/>
  <c r="C90" i="3"/>
  <c r="D26" i="9"/>
  <c r="C82" i="3"/>
  <c r="D25" i="9"/>
  <c r="C74" i="3"/>
  <c r="D24" i="9"/>
  <c r="C69" i="3"/>
  <c r="D23" i="9"/>
  <c r="C62" i="3"/>
  <c r="D22" i="9"/>
  <c r="C49" i="3"/>
  <c r="D21" i="9"/>
  <c r="C42" i="3"/>
  <c r="D20" i="9"/>
  <c r="C35" i="3"/>
  <c r="D19" i="9"/>
  <c r="C28" i="3"/>
  <c r="D18" i="9"/>
  <c r="D33" i="9"/>
  <c r="C21" i="3"/>
  <c r="D17" i="9"/>
  <c r="C14" i="3"/>
  <c r="D16" i="9"/>
  <c r="D12" i="9"/>
  <c r="D11" i="9"/>
  <c r="D10" i="9"/>
  <c r="D9" i="9"/>
  <c r="C10" i="9"/>
  <c r="C9" i="9"/>
  <c r="C12" i="9"/>
  <c r="C11" i="9"/>
  <c r="E25" i="5"/>
  <c r="E18" i="5"/>
  <c r="E12" i="5"/>
  <c r="E27" i="5"/>
  <c r="G26" i="6"/>
  <c r="C37" i="6"/>
  <c r="C22" i="6"/>
  <c r="C28" i="6"/>
  <c r="C32" i="6"/>
  <c r="C41" i="6"/>
  <c r="I23" i="5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I160" i="3"/>
  <c r="C146" i="3"/>
  <c r="C78" i="3"/>
  <c r="C160" i="3"/>
  <c r="I146" i="3"/>
  <c r="I78" i="3"/>
  <c r="E82" i="3"/>
  <c r="O82" i="3"/>
  <c r="M82" i="3"/>
  <c r="G82" i="3"/>
  <c r="O81" i="3"/>
  <c r="M81" i="3"/>
  <c r="O72" i="3"/>
  <c r="M72" i="3"/>
  <c r="D37" i="9"/>
  <c r="H49" i="2"/>
  <c r="F44" i="9"/>
  <c r="I15" i="4"/>
  <c r="E15" i="4"/>
  <c r="K15" i="4"/>
  <c r="K9" i="4"/>
  <c r="K10" i="4"/>
  <c r="K11" i="4"/>
  <c r="K12" i="4"/>
  <c r="K13" i="4"/>
  <c r="K8" i="4"/>
  <c r="G55" i="1"/>
  <c r="G54" i="1"/>
  <c r="E54" i="1"/>
  <c r="I28" i="6"/>
  <c r="E49" i="2"/>
  <c r="D44" i="9"/>
  <c r="G44" i="9"/>
  <c r="G45" i="9"/>
  <c r="G46" i="9"/>
  <c r="D46" i="9"/>
  <c r="D13" i="9"/>
  <c r="D41" i="9"/>
  <c r="D48" i="9"/>
  <c r="G49" i="2"/>
  <c r="E44" i="9"/>
  <c r="I46" i="2"/>
  <c r="C55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7" i="1"/>
  <c r="E35" i="5"/>
  <c r="C46" i="9"/>
  <c r="C37" i="9"/>
  <c r="C13" i="9"/>
  <c r="C41" i="9"/>
  <c r="C48" i="9"/>
  <c r="I47" i="2"/>
  <c r="I45" i="2"/>
  <c r="I37" i="2"/>
  <c r="I38" i="2"/>
  <c r="I39" i="2"/>
  <c r="I40" i="2"/>
  <c r="I36" i="2"/>
  <c r="I28" i="2"/>
  <c r="I29" i="2"/>
  <c r="I30" i="2"/>
  <c r="I31" i="2"/>
  <c r="I2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9" i="2"/>
  <c r="I8" i="2"/>
  <c r="E37" i="9"/>
  <c r="E9" i="9"/>
  <c r="G24" i="2"/>
  <c r="E10" i="9"/>
  <c r="G33" i="2"/>
  <c r="E11" i="9"/>
  <c r="G42" i="2"/>
  <c r="E12" i="9"/>
  <c r="E4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16" i="9"/>
  <c r="H33" i="2"/>
  <c r="G11" i="9"/>
  <c r="H42" i="2"/>
  <c r="G12" i="9"/>
  <c r="H24" i="2"/>
  <c r="C10" i="1"/>
  <c r="G9" i="9"/>
  <c r="D49" i="2"/>
  <c r="D42" i="2"/>
  <c r="D33" i="2"/>
  <c r="D24" i="2"/>
  <c r="D51" i="2"/>
  <c r="E24" i="2"/>
  <c r="E33" i="2"/>
  <c r="E42" i="2"/>
  <c r="E51" i="2"/>
  <c r="F49" i="2"/>
  <c r="F42" i="2"/>
  <c r="F33" i="2"/>
  <c r="F24" i="2"/>
  <c r="F51" i="2"/>
  <c r="G51" i="2"/>
  <c r="I24" i="2"/>
  <c r="I33" i="2"/>
  <c r="I42" i="2"/>
  <c r="I49" i="2"/>
  <c r="I51" i="2"/>
  <c r="C24" i="2"/>
  <c r="C33" i="2"/>
  <c r="C42" i="2"/>
  <c r="C49" i="2"/>
  <c r="C51" i="2"/>
  <c r="C12" i="5"/>
  <c r="C18" i="5"/>
  <c r="C25" i="5"/>
  <c r="C27" i="5"/>
  <c r="C35" i="5"/>
  <c r="C39" i="5"/>
  <c r="C44" i="5"/>
  <c r="C48" i="5"/>
  <c r="C51" i="5"/>
  <c r="G50" i="5"/>
  <c r="G44" i="5"/>
  <c r="G12" i="5"/>
  <c r="G18" i="5"/>
  <c r="G25" i="5"/>
  <c r="G27" i="5"/>
  <c r="G35" i="5"/>
  <c r="G39" i="5"/>
  <c r="G48" i="5"/>
  <c r="G51" i="5"/>
  <c r="E60" i="1"/>
  <c r="D54" i="1"/>
  <c r="D56" i="1"/>
  <c r="E56" i="1"/>
  <c r="G56" i="1"/>
  <c r="G141" i="3"/>
  <c r="E141" i="3"/>
  <c r="O141" i="3"/>
  <c r="O140" i="3"/>
  <c r="O139" i="3"/>
  <c r="K139" i="3"/>
  <c r="K61" i="3"/>
  <c r="C114" i="3"/>
  <c r="C113" i="3"/>
  <c r="C112" i="3"/>
  <c r="C58" i="3"/>
  <c r="C57" i="3"/>
  <c r="C56" i="3"/>
  <c r="K141" i="3"/>
  <c r="F37" i="9"/>
  <c r="G37" i="9"/>
  <c r="K77" i="5"/>
  <c r="K78" i="5"/>
  <c r="K77" i="3"/>
  <c r="K83" i="2"/>
  <c r="K84" i="2"/>
  <c r="K115" i="5"/>
  <c r="K120" i="3"/>
  <c r="K121" i="2"/>
  <c r="I12" i="5"/>
  <c r="E28" i="6"/>
  <c r="E22" i="6"/>
  <c r="K78" i="3"/>
  <c r="G78" i="3"/>
  <c r="E78" i="3"/>
  <c r="O77" i="3"/>
  <c r="K119" i="3"/>
  <c r="K13" i="3"/>
  <c r="O78" i="3"/>
  <c r="I113" i="3"/>
  <c r="I114" i="3"/>
  <c r="I112" i="3"/>
  <c r="I57" i="3"/>
  <c r="I58" i="3"/>
  <c r="I56" i="3"/>
  <c r="O145" i="3"/>
  <c r="E132" i="3"/>
  <c r="E136" i="3"/>
  <c r="E124" i="3"/>
  <c r="E129" i="3"/>
  <c r="E100" i="3"/>
  <c r="E93" i="3"/>
  <c r="E97" i="3"/>
  <c r="E85" i="3"/>
  <c r="O85" i="3"/>
  <c r="E45" i="3"/>
  <c r="E49" i="3"/>
  <c r="E38" i="3"/>
  <c r="E31" i="3"/>
  <c r="E9" i="3"/>
  <c r="O157" i="3"/>
  <c r="O153" i="3"/>
  <c r="O149" i="3"/>
  <c r="O144" i="3"/>
  <c r="O135" i="3"/>
  <c r="O134" i="3"/>
  <c r="O133" i="3"/>
  <c r="O132" i="3"/>
  <c r="O128" i="3"/>
  <c r="O127" i="3"/>
  <c r="O126" i="3"/>
  <c r="O125" i="3"/>
  <c r="O124" i="3"/>
  <c r="O118" i="3"/>
  <c r="O117" i="3"/>
  <c r="O116" i="3"/>
  <c r="O104" i="3"/>
  <c r="O103" i="3"/>
  <c r="O102" i="3"/>
  <c r="O101" i="3"/>
  <c r="O100" i="3"/>
  <c r="O96" i="3"/>
  <c r="O95" i="3"/>
  <c r="O94" i="3"/>
  <c r="O89" i="3"/>
  <c r="O88" i="3"/>
  <c r="O87" i="3"/>
  <c r="O86" i="3"/>
  <c r="O68" i="3"/>
  <c r="O67" i="3"/>
  <c r="O66" i="3"/>
  <c r="O65" i="3"/>
  <c r="O60" i="3"/>
  <c r="O48" i="3"/>
  <c r="O47" i="3"/>
  <c r="O46" i="3"/>
  <c r="O45" i="3"/>
  <c r="O41" i="3"/>
  <c r="O40" i="3"/>
  <c r="O39" i="3"/>
  <c r="O38" i="3"/>
  <c r="O34" i="3"/>
  <c r="O33" i="3"/>
  <c r="O32" i="3"/>
  <c r="O31" i="3"/>
  <c r="O27" i="3"/>
  <c r="O26" i="3"/>
  <c r="O25" i="3"/>
  <c r="O24" i="3"/>
  <c r="O20" i="3"/>
  <c r="O19" i="3"/>
  <c r="O18" i="3"/>
  <c r="O17" i="3"/>
  <c r="O10" i="3"/>
  <c r="O11" i="3"/>
  <c r="O12" i="3"/>
  <c r="O13" i="3"/>
  <c r="O9" i="3"/>
  <c r="E158" i="3"/>
  <c r="E154" i="3"/>
  <c r="E150" i="3"/>
  <c r="E146" i="3"/>
  <c r="E121" i="3"/>
  <c r="E105" i="3"/>
  <c r="E74" i="3"/>
  <c r="E69" i="3"/>
  <c r="E62" i="3"/>
  <c r="E57" i="3"/>
  <c r="E113" i="3"/>
  <c r="E58" i="3"/>
  <c r="E114" i="3"/>
  <c r="E56" i="3"/>
  <c r="E112" i="3"/>
  <c r="E42" i="3"/>
  <c r="E35" i="3"/>
  <c r="E28" i="3"/>
  <c r="E21" i="3"/>
  <c r="E14" i="3"/>
  <c r="L42" i="2"/>
  <c r="L33" i="2"/>
  <c r="L24" i="2"/>
  <c r="O93" i="3"/>
  <c r="E90" i="3"/>
  <c r="L51" i="2"/>
  <c r="E160" i="3"/>
  <c r="A109" i="3"/>
  <c r="A53" i="3"/>
  <c r="O73" i="3"/>
  <c r="G47" i="1"/>
  <c r="E47" i="1"/>
  <c r="C47" i="1"/>
  <c r="I37" i="6"/>
  <c r="G37" i="6"/>
  <c r="E37" i="6"/>
  <c r="G22" i="6"/>
  <c r="I22" i="6"/>
  <c r="J14" i="6"/>
  <c r="G28" i="6"/>
  <c r="I25" i="5"/>
  <c r="I18" i="5"/>
  <c r="I44" i="5"/>
  <c r="E44" i="5"/>
  <c r="I35" i="5"/>
  <c r="G15" i="4"/>
  <c r="C15" i="4"/>
  <c r="K157" i="3"/>
  <c r="K153" i="3"/>
  <c r="K149" i="3"/>
  <c r="K144" i="3"/>
  <c r="K135" i="3"/>
  <c r="K133" i="3"/>
  <c r="K134" i="3"/>
  <c r="K132" i="3"/>
  <c r="K125" i="3"/>
  <c r="K126" i="3"/>
  <c r="K127" i="3"/>
  <c r="K124" i="3"/>
  <c r="K118" i="3"/>
  <c r="K117" i="3"/>
  <c r="K116" i="3"/>
  <c r="K101" i="3"/>
  <c r="K102" i="3"/>
  <c r="K103" i="3"/>
  <c r="K104" i="3"/>
  <c r="K100" i="3"/>
  <c r="K96" i="3"/>
  <c r="K95" i="3"/>
  <c r="K94" i="3"/>
  <c r="K93" i="3"/>
  <c r="K89" i="3"/>
  <c r="K88" i="3"/>
  <c r="K87" i="3"/>
  <c r="K86" i="3"/>
  <c r="K85" i="3"/>
  <c r="K73" i="3"/>
  <c r="K68" i="3"/>
  <c r="K67" i="3"/>
  <c r="K66" i="3"/>
  <c r="K65" i="3"/>
  <c r="K60" i="3"/>
  <c r="K48" i="3"/>
  <c r="K47" i="3"/>
  <c r="K46" i="3"/>
  <c r="K41" i="3"/>
  <c r="K40" i="3"/>
  <c r="K39" i="3"/>
  <c r="K34" i="3"/>
  <c r="K33" i="3"/>
  <c r="K32" i="3"/>
  <c r="K31" i="3"/>
  <c r="K27" i="3"/>
  <c r="K26" i="3"/>
  <c r="K24" i="3"/>
  <c r="K20" i="3"/>
  <c r="K19" i="3"/>
  <c r="K18" i="3"/>
  <c r="K17" i="3"/>
  <c r="K10" i="3"/>
  <c r="K11" i="3"/>
  <c r="K12" i="3"/>
  <c r="K45" i="3"/>
  <c r="K38" i="3"/>
  <c r="K25" i="3"/>
  <c r="K9" i="3"/>
  <c r="G121" i="3"/>
  <c r="O158" i="3"/>
  <c r="G158" i="3"/>
  <c r="G154" i="3"/>
  <c r="O150" i="3"/>
  <c r="G150" i="3"/>
  <c r="O146" i="3"/>
  <c r="G146" i="3"/>
  <c r="O136" i="3"/>
  <c r="G136" i="3"/>
  <c r="O129" i="3"/>
  <c r="G129" i="3"/>
  <c r="O105" i="3"/>
  <c r="G105" i="3"/>
  <c r="O97" i="3"/>
  <c r="G97" i="3"/>
  <c r="O90" i="3"/>
  <c r="G90" i="3"/>
  <c r="O74" i="3"/>
  <c r="G74" i="3"/>
  <c r="O69" i="3"/>
  <c r="G69" i="3"/>
  <c r="O62" i="3"/>
  <c r="G62" i="3"/>
  <c r="O49" i="3"/>
  <c r="G49" i="3"/>
  <c r="O42" i="3"/>
  <c r="G42" i="3"/>
  <c r="O35" i="3"/>
  <c r="G35" i="3"/>
  <c r="G28" i="3"/>
  <c r="O21" i="3"/>
  <c r="G21" i="3"/>
  <c r="G14" i="3"/>
  <c r="J29" i="2"/>
  <c r="G38" i="1"/>
  <c r="E38" i="1"/>
  <c r="G14" i="1"/>
  <c r="G42" i="1"/>
  <c r="G51" i="1"/>
  <c r="G58" i="1"/>
  <c r="C44" i="6"/>
  <c r="G43" i="6"/>
  <c r="G32" i="6"/>
  <c r="G41" i="6"/>
  <c r="G44" i="6"/>
  <c r="G60" i="1"/>
  <c r="G61" i="1"/>
  <c r="M9" i="4"/>
  <c r="M12" i="4"/>
  <c r="O154" i="3"/>
  <c r="C11" i="1"/>
  <c r="C13" i="1"/>
  <c r="C12" i="1"/>
  <c r="O28" i="3"/>
  <c r="J13" i="3"/>
  <c r="J22" i="3"/>
  <c r="J28" i="3"/>
  <c r="J16" i="3"/>
  <c r="J23" i="3"/>
  <c r="J10" i="3"/>
  <c r="J17" i="3"/>
  <c r="J24" i="3"/>
  <c r="J11" i="3"/>
  <c r="J19" i="3"/>
  <c r="J26" i="3"/>
  <c r="J31" i="5"/>
  <c r="J35" i="5"/>
  <c r="J32" i="5"/>
  <c r="J30" i="5"/>
  <c r="J33" i="5"/>
  <c r="J34" i="5"/>
  <c r="J28" i="6"/>
  <c r="J25" i="6"/>
  <c r="J26" i="6"/>
  <c r="J27" i="6"/>
  <c r="O14" i="3"/>
  <c r="C38" i="1"/>
  <c r="I27" i="5"/>
  <c r="J25" i="5"/>
  <c r="E39" i="5"/>
  <c r="E48" i="5"/>
  <c r="K121" i="3"/>
  <c r="O121" i="3"/>
  <c r="E32" i="6"/>
  <c r="E41" i="6"/>
  <c r="I32" i="6"/>
  <c r="I41" i="6"/>
  <c r="I44" i="6"/>
  <c r="E50" i="5"/>
  <c r="M10" i="4"/>
  <c r="M8" i="4"/>
  <c r="M11" i="4"/>
  <c r="K146" i="3"/>
  <c r="K150" i="3"/>
  <c r="K154" i="3"/>
  <c r="K158" i="3"/>
  <c r="K129" i="3"/>
  <c r="K136" i="3"/>
  <c r="K97" i="3"/>
  <c r="K105" i="3"/>
  <c r="K90" i="3"/>
  <c r="K14" i="3"/>
  <c r="K28" i="3"/>
  <c r="K42" i="3"/>
  <c r="K49" i="3"/>
  <c r="K62" i="3"/>
  <c r="K74" i="3"/>
  <c r="G160" i="3"/>
  <c r="I39" i="5"/>
  <c r="I48" i="5"/>
  <c r="J10" i="5"/>
  <c r="J21" i="5"/>
  <c r="J27" i="5"/>
  <c r="J15" i="5"/>
  <c r="J22" i="5"/>
  <c r="J9" i="5"/>
  <c r="J16" i="5"/>
  <c r="J23" i="5"/>
  <c r="J12" i="5"/>
  <c r="E14" i="1"/>
  <c r="E42" i="1"/>
  <c r="E51" i="1"/>
  <c r="E58" i="1"/>
  <c r="E61" i="1"/>
  <c r="J18" i="5"/>
  <c r="E51" i="5"/>
  <c r="E43" i="6"/>
  <c r="E44" i="6"/>
  <c r="I51" i="5"/>
  <c r="K69" i="3"/>
  <c r="K35" i="3"/>
  <c r="M21" i="3"/>
  <c r="K21" i="3"/>
  <c r="M13" i="4"/>
  <c r="M15" i="4"/>
  <c r="C54" i="1"/>
  <c r="C56" i="1"/>
  <c r="G10" i="9"/>
  <c r="E13" i="9"/>
  <c r="E41" i="9"/>
  <c r="F46" i="9"/>
  <c r="J13" i="6"/>
  <c r="J20" i="6"/>
  <c r="J11" i="6"/>
  <c r="J12" i="6"/>
  <c r="J22" i="6"/>
  <c r="J17" i="6"/>
  <c r="C14" i="1"/>
  <c r="C42" i="1"/>
  <c r="C51" i="1"/>
  <c r="C58" i="1"/>
  <c r="G13" i="9"/>
  <c r="G41" i="9"/>
  <c r="G48" i="9"/>
  <c r="F13" i="9"/>
  <c r="F41" i="9"/>
  <c r="F48" i="9"/>
  <c r="H51" i="2"/>
  <c r="M139" i="3"/>
  <c r="M119" i="3"/>
  <c r="M121" i="3"/>
  <c r="M97" i="3"/>
  <c r="M126" i="3"/>
  <c r="M104" i="3"/>
  <c r="M94" i="3"/>
  <c r="M65" i="3"/>
  <c r="M40" i="3"/>
  <c r="M26" i="3"/>
  <c r="M11" i="3"/>
  <c r="M157" i="3"/>
  <c r="M135" i="3"/>
  <c r="M117" i="3"/>
  <c r="M93" i="3"/>
  <c r="M73" i="3"/>
  <c r="M45" i="3"/>
  <c r="M31" i="3"/>
  <c r="M17" i="3"/>
  <c r="M136" i="3"/>
  <c r="M90" i="3"/>
  <c r="M62" i="3"/>
  <c r="M25" i="3"/>
  <c r="M146" i="3"/>
  <c r="M61" i="3"/>
  <c r="O160" i="3"/>
  <c r="M35" i="3"/>
  <c r="M116" i="3"/>
  <c r="M67" i="3"/>
  <c r="M32" i="3"/>
  <c r="M144" i="3"/>
  <c r="M95" i="3"/>
  <c r="M33" i="3"/>
  <c r="M19" i="3"/>
  <c r="M105" i="3"/>
  <c r="M141" i="3"/>
  <c r="M77" i="3"/>
  <c r="M158" i="3"/>
  <c r="M74" i="3"/>
  <c r="M134" i="3"/>
  <c r="M124" i="3"/>
  <c r="M102" i="3"/>
  <c r="M88" i="3"/>
  <c r="M60" i="3"/>
  <c r="M38" i="3"/>
  <c r="M24" i="3"/>
  <c r="M13" i="3"/>
  <c r="M153" i="3"/>
  <c r="M133" i="3"/>
  <c r="M103" i="3"/>
  <c r="M89" i="3"/>
  <c r="M68" i="3"/>
  <c r="M41" i="3"/>
  <c r="M27" i="3"/>
  <c r="M10" i="3"/>
  <c r="M154" i="3"/>
  <c r="M69" i="3"/>
  <c r="M66" i="3"/>
  <c r="M12" i="3"/>
  <c r="M160" i="3"/>
  <c r="M28" i="3"/>
  <c r="M120" i="3"/>
  <c r="M78" i="3"/>
  <c r="M14" i="3"/>
  <c r="M150" i="3"/>
  <c r="M49" i="3"/>
  <c r="M132" i="3"/>
  <c r="M118" i="3"/>
  <c r="M100" i="3"/>
  <c r="M86" i="3"/>
  <c r="M48" i="3"/>
  <c r="M34" i="3"/>
  <c r="M20" i="3"/>
  <c r="K160" i="3"/>
  <c r="M149" i="3"/>
  <c r="M127" i="3"/>
  <c r="M101" i="3"/>
  <c r="M87" i="3"/>
  <c r="M39" i="3"/>
  <c r="M42" i="3"/>
  <c r="M140" i="3"/>
  <c r="M145" i="3"/>
  <c r="M129" i="3"/>
  <c r="M128" i="3"/>
  <c r="M96" i="3"/>
  <c r="M46" i="3"/>
  <c r="M18" i="3"/>
  <c r="M125" i="3"/>
  <c r="M85" i="3"/>
  <c r="M47" i="3"/>
  <c r="M9" i="3"/>
  <c r="C60" i="1"/>
  <c r="C61" i="1"/>
</calcChain>
</file>

<file path=xl/comments1.xml><?xml version="1.0" encoding="utf-8"?>
<comments xmlns="http://schemas.openxmlformats.org/spreadsheetml/2006/main">
  <authors>
    <author>Theresa Maniscalco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Theresa Maniscalco:</t>
        </r>
        <r>
          <rPr>
            <sz val="8"/>
            <color indexed="81"/>
            <rFont val="Tahoma"/>
            <family val="2"/>
          </rPr>
          <t xml:space="preserve">
as of 6/30/11 with contract buyouts and retiree payoffs deducted</t>
        </r>
      </text>
    </comment>
  </commentList>
</comments>
</file>

<file path=xl/sharedStrings.xml><?xml version="1.0" encoding="utf-8"?>
<sst xmlns="http://schemas.openxmlformats.org/spreadsheetml/2006/main" count="453" uniqueCount="225">
  <si>
    <t>Lewisville Independent School District</t>
  </si>
  <si>
    <t>Audited</t>
  </si>
  <si>
    <t>Unaudited</t>
  </si>
  <si>
    <t>Budget</t>
  </si>
  <si>
    <t>2010-11</t>
  </si>
  <si>
    <t>Revenues</t>
  </si>
  <si>
    <t>Total Revenue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</si>
  <si>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</si>
  <si>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</si>
  <si>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</si>
  <si>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</si>
  <si>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</si>
  <si>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</si>
  <si>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</si>
  <si>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</si>
  <si>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</si>
  <si>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</si>
  <si>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</si>
  <si>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</si>
  <si>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</si>
  <si>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</si>
  <si>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</si>
  <si>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</si>
  <si>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</si>
  <si>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Debt Service</t>
  </si>
  <si>
    <t>Facilities Acquisition and Construction</t>
  </si>
  <si>
    <t>Payments to Fiscal Agents/Shared Service</t>
  </si>
  <si>
    <t>Juvenile Justice Alternative Edu Program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</si>
  <si>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</si>
  <si>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</si>
  <si>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</si>
  <si>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</si>
  <si>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</si>
  <si>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</si>
  <si>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</si>
  <si>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</si>
  <si>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Excess (Deficiencies) of Revenue and</t>
  </si>
  <si>
    <t>Other Financial Resources Over Expenditures</t>
  </si>
  <si>
    <t>and Other Financial Uses</t>
  </si>
  <si>
    <t>Fund Balance, beginning, 9/1</t>
  </si>
  <si>
    <t xml:space="preserve">   Fund Balance, ending, 8/31</t>
  </si>
  <si>
    <t>Property Tax Revenue</t>
  </si>
  <si>
    <t>Other Local Revenue</t>
  </si>
  <si>
    <t>State Revenue</t>
  </si>
  <si>
    <t>Combined Funds - General, Food Service, and Debt Service</t>
  </si>
  <si>
    <t>General</t>
  </si>
  <si>
    <t>Fund</t>
  </si>
  <si>
    <t>Federal Revenue</t>
  </si>
  <si>
    <t>Debt service</t>
  </si>
  <si>
    <t>Total Fund 199</t>
  </si>
  <si>
    <t>Local Revenue</t>
  </si>
  <si>
    <t>Total Local Revenue</t>
  </si>
  <si>
    <t>Total State Revenue</t>
  </si>
  <si>
    <t>Other Resources</t>
  </si>
  <si>
    <t>Projected</t>
  </si>
  <si>
    <t>Actual</t>
  </si>
  <si>
    <t>Total Federal Revenue</t>
  </si>
  <si>
    <t>General Fund Revenue by Object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</si>
  <si>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</si>
  <si>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</si>
  <si>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</si>
  <si>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</si>
  <si>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</si>
  <si>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</si>
  <si>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</si>
  <si>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</si>
  <si>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</si>
  <si>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</si>
  <si>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</si>
  <si>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</si>
  <si>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</si>
  <si>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</si>
  <si>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</si>
  <si>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</si>
  <si>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</si>
  <si>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</si>
  <si>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</si>
  <si>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</si>
  <si>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</si>
  <si>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</si>
  <si>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</si>
  <si>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</si>
  <si>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</si>
  <si>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</si>
  <si>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</si>
  <si>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</si>
  <si>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</si>
  <si>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36 - Cocurricular/Extra curricular</t>
  </si>
  <si>
    <t>Total Function 36</t>
  </si>
  <si>
    <t>41 - General Administration</t>
  </si>
  <si>
    <t>Total Function 41</t>
  </si>
  <si>
    <t>51-Maintenance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</si>
  <si>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</si>
  <si>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</si>
  <si>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</si>
  <si>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</si>
  <si>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</si>
  <si>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</si>
  <si>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</si>
  <si>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</si>
  <si>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Total Function 81</t>
  </si>
  <si>
    <t>93 - Payments to Fiscal Agent Shared Service</t>
  </si>
  <si>
    <t>6400 Other Operating Expenditures</t>
  </si>
  <si>
    <t>Total Function 93</t>
  </si>
  <si>
    <t>95 - Juvenile Justice Alternative Ed Program</t>
  </si>
  <si>
    <t>Total Function 95</t>
  </si>
  <si>
    <t>99 - Other Intergovernmental Charges</t>
  </si>
  <si>
    <t>Total Function 99</t>
  </si>
  <si>
    <t>Total Expenditures</t>
  </si>
  <si>
    <t>Total Function 35</t>
  </si>
  <si>
    <t>35 - Food Service</t>
  </si>
  <si>
    <t>Expenditure Summary by Major Object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</si>
  <si>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</si>
  <si>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</si>
  <si>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</si>
  <si>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</si>
  <si>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</si>
  <si>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</si>
  <si>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</si>
  <si>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</si>
  <si>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>66XX</t>
  </si>
  <si>
    <t>Capital Outlay</t>
  </si>
  <si>
    <t>Food Service Fund</t>
  </si>
  <si>
    <t>Food Service Activity</t>
  </si>
  <si>
    <t>Other</t>
  </si>
  <si>
    <t>Program Revenue Distributed by TEA</t>
  </si>
  <si>
    <t>TRS on Behalf</t>
  </si>
  <si>
    <t>Total Local Revenues</t>
  </si>
  <si>
    <t>Total State Revenues</t>
  </si>
  <si>
    <t>Local Revenues</t>
  </si>
  <si>
    <t>State Revenues</t>
  </si>
  <si>
    <t>Federal Breakfast Reimbursement</t>
  </si>
  <si>
    <t>Federal Lunch Reimbursement</t>
  </si>
  <si>
    <t>USDA Commodities</t>
  </si>
  <si>
    <t>Total Federal Revenues</t>
  </si>
  <si>
    <t>Payroll</t>
  </si>
  <si>
    <t>Contracted Services</t>
  </si>
  <si>
    <t>Supplies and Materials</t>
  </si>
  <si>
    <t>Other Operating Costs</t>
  </si>
  <si>
    <t xml:space="preserve">    Total Revenue</t>
  </si>
  <si>
    <t>Debt Service Fund</t>
  </si>
  <si>
    <t>Current Property Tax Collections</t>
  </si>
  <si>
    <t>Delinquent Property Tax Collections</t>
  </si>
  <si>
    <t>Penalties and Interest</t>
  </si>
  <si>
    <t>Interest Earnings</t>
  </si>
  <si>
    <t>Principal on Bonds</t>
  </si>
  <si>
    <t>Interest on Bonds</t>
  </si>
  <si>
    <t>Other Debt Service Fees</t>
  </si>
  <si>
    <t>Current Tax Collections</t>
  </si>
  <si>
    <t>Delinquent Tax Collections</t>
  </si>
  <si>
    <t>Tuition and Fees Local Sources</t>
  </si>
  <si>
    <t>Rent</t>
  </si>
  <si>
    <t>Revenue from Foundations</t>
  </si>
  <si>
    <t>Insurance Recovery</t>
  </si>
  <si>
    <t>Other Rev from Local Sources</t>
  </si>
  <si>
    <t>Athletic Activity</t>
  </si>
  <si>
    <t>Extracurr Other than Athletics</t>
  </si>
  <si>
    <t>Enterprising Services Revenue</t>
  </si>
  <si>
    <t>Cocurricular Enterprising Services</t>
  </si>
  <si>
    <t>Misc Rev Intermediate Sources (JJAEP)</t>
  </si>
  <si>
    <t>Sale of Real Property</t>
  </si>
  <si>
    <t>Federal Rev Dist by Fed Govt</t>
  </si>
  <si>
    <t>Impact Aid</t>
  </si>
  <si>
    <t>Federal Rev Dist by State</t>
  </si>
  <si>
    <t>School Health Related Services</t>
  </si>
  <si>
    <t>Federal Rev Dist by TEA</t>
  </si>
  <si>
    <t>Per Capita Apportionment</t>
  </si>
  <si>
    <t>Foundation Sch Prog Revenue</t>
  </si>
  <si>
    <t>Other Foundation Sch Prog Act</t>
  </si>
  <si>
    <t>State Prog Rev Dist by TEA</t>
  </si>
  <si>
    <t>Proposed Budget              FY 12-13</t>
  </si>
  <si>
    <t>General Fund</t>
  </si>
  <si>
    <t>Adopted Budget       FY11-12</t>
  </si>
  <si>
    <t>Federal Revenues</t>
  </si>
  <si>
    <t>Federal Program Revenues</t>
  </si>
  <si>
    <t>Adopted Budget</t>
  </si>
  <si>
    <t xml:space="preserve">Excess (Deficiencies) of Revenue </t>
  </si>
  <si>
    <t xml:space="preserve"> Over Expenditures</t>
  </si>
  <si>
    <t>Over Expenditures</t>
  </si>
  <si>
    <t>81 - Facilities Acquisition &amp; Construction</t>
  </si>
  <si>
    <t>Projected Actual</t>
  </si>
  <si>
    <t>Net Change in Fund Balance</t>
  </si>
  <si>
    <t>Proceeds from Capital Leases</t>
  </si>
  <si>
    <t>2015-16</t>
  </si>
  <si>
    <t>71 - Debt Service</t>
  </si>
  <si>
    <t>6500 Debt Service</t>
  </si>
  <si>
    <t>65XX Debt Service</t>
  </si>
  <si>
    <t>Total Other Resources</t>
  </si>
  <si>
    <t>Foundation School Prog Revenue</t>
  </si>
  <si>
    <t>2016-17</t>
  </si>
  <si>
    <t>Operating Transfers In</t>
  </si>
  <si>
    <t>Projected Actual             FY 16-17</t>
  </si>
  <si>
    <t>As Of 7/21/17</t>
  </si>
  <si>
    <t>2017-18</t>
  </si>
  <si>
    <t>Total Function 71</t>
  </si>
  <si>
    <t>LHS SCOREBOARD</t>
  </si>
  <si>
    <t xml:space="preserve">Tax Appraisal &amp; Collections </t>
  </si>
  <si>
    <t>FY 2015-16</t>
  </si>
  <si>
    <t>FY 2016-17</t>
  </si>
  <si>
    <t>FY 2017-18</t>
  </si>
  <si>
    <t>Change from</t>
  </si>
  <si>
    <t>2016-17 Adopted</t>
  </si>
  <si>
    <t>Budget to</t>
  </si>
  <si>
    <t>FY 2015-16 Audited</t>
  </si>
  <si>
    <t>Adopted Budget              FY 2016-17</t>
  </si>
  <si>
    <t>Adopted</t>
  </si>
  <si>
    <t xml:space="preserve"> -1-</t>
  </si>
  <si>
    <t>Adopted Budget              FY 2017-18</t>
  </si>
  <si>
    <t>Change from    2016-17 Adopted Budget to 2017-18 Adopted Budget</t>
  </si>
  <si>
    <t>Adopted Tax Rate</t>
  </si>
  <si>
    <t>Fiscal Year 2017-18 Adopted Budget</t>
  </si>
  <si>
    <t xml:space="preserve"> -2-</t>
  </si>
  <si>
    <t xml:space="preserve"> -3-</t>
  </si>
  <si>
    <t xml:space="preserve"> -4-</t>
  </si>
  <si>
    <t xml:space="preserve"> -5-</t>
  </si>
  <si>
    <t xml:space="preserve"> -6-</t>
  </si>
  <si>
    <t xml:space="preserve"> -7-</t>
  </si>
  <si>
    <t xml:space="preserve"> -8-</t>
  </si>
  <si>
    <t xml:space="preserve"> -9-</t>
  </si>
  <si>
    <t>For The</t>
  </si>
  <si>
    <t>2017-2018</t>
  </si>
  <si>
    <t>Fiscal Year</t>
  </si>
  <si>
    <t>(Fiscal Year Ending August 31, 2018)</t>
  </si>
  <si>
    <t>Adopted by Board of School Trustees</t>
  </si>
  <si>
    <t>Supporting Schedules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</si>
</sst>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%\ ;\(0.00%\)"/>
    <numFmt numFmtId="167" formatCode="_(* #,##0_);_(* \(#,##0\);_(* &quot;-&quot;??_);_(@_)"/>
    <numFmt numFmtId="168" formatCode="_(* #,##0.000000_);_(* \(#,##0.000000\);_(* &quot;-&quot;??_);_(@_)"/>
    <numFmt numFmtId="169" formatCode="0.00000"/>
    <numFmt numFmtId="170" formatCode="mmmm\ 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7" fillId="4" borderId="0"/>
  </cellStyleXfs>
  <cellXfs count="289">
    <xf numFmtId="0" fontId="0" fillId="0" borderId="0" xfId="0"/>
    <xf numFmtId="0" fontId="3" fillId="0" borderId="0" xfId="3"/>
    <xf numFmtId="0" fontId="5" fillId="0" borderId="0" xfId="3" applyFont="1" applyFill="1"/>
    <xf numFmtId="0" fontId="5" fillId="0" borderId="0" xfId="3" applyFont="1" applyFill="1" applyAlignment="1">
      <alignment horizontal="center"/>
    </xf>
    <xf numFmtId="6" fontId="3" fillId="0" borderId="0" xfId="3" applyNumberFormat="1" applyFill="1"/>
    <xf numFmtId="0" fontId="4" fillId="0" borderId="0" xfId="3" applyFont="1" applyFill="1"/>
    <xf numFmtId="38" fontId="4" fillId="0" borderId="0" xfId="3" applyNumberFormat="1" applyFont="1" applyFill="1"/>
    <xf numFmtId="6" fontId="4" fillId="0" borderId="0" xfId="3" applyNumberFormat="1" applyFont="1" applyFill="1"/>
    <xf numFmtId="0" fontId="6" fillId="0" borderId="0" xfId="3" applyFont="1" applyFill="1" applyAlignment="1"/>
    <xf numFmtId="0" fontId="6" fillId="0" borderId="0" xfId="3" applyFont="1" applyFill="1"/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38" fontId="4" fillId="0" borderId="0" xfId="3" applyNumberFormat="1" applyFont="1" applyFill="1" applyBorder="1"/>
    <xf numFmtId="0" fontId="4" fillId="0" borderId="0" xfId="3" applyFont="1" applyFill="1" applyAlignment="1">
      <alignment horizontal="left"/>
    </xf>
    <xf numFmtId="41" fontId="4" fillId="0" borderId="0" xfId="3" applyNumberFormat="1" applyFont="1" applyFill="1"/>
    <xf numFmtId="0" fontId="4" fillId="0" borderId="0" xfId="3" applyFont="1" applyFill="1" applyAlignment="1">
      <alignment horizontal="left" indent="1"/>
    </xf>
    <xf numFmtId="38" fontId="4" fillId="0" borderId="3" xfId="3" applyNumberFormat="1" applyFont="1" applyFill="1" applyBorder="1"/>
    <xf numFmtId="41" fontId="4" fillId="0" borderId="0" xfId="3" applyNumberFormat="1" applyFont="1" applyFill="1" applyAlignment="1">
      <alignment horizontal="right"/>
    </xf>
    <xf numFmtId="0" fontId="5" fillId="0" borderId="0" xfId="3" applyFont="1" applyFill="1" applyBorder="1"/>
    <xf numFmtId="41" fontId="4" fillId="0" borderId="3" xfId="3" applyNumberFormat="1" applyFont="1" applyFill="1" applyBorder="1"/>
    <xf numFmtId="5" fontId="4" fillId="0" borderId="0" xfId="3" applyNumberFormat="1" applyFont="1" applyFill="1" applyBorder="1"/>
    <xf numFmtId="6" fontId="4" fillId="0" borderId="0" xfId="3" applyNumberFormat="1" applyFont="1" applyFill="1" applyBorder="1"/>
    <xf numFmtId="0" fontId="6" fillId="0" borderId="0" xfId="3" applyFont="1" applyFill="1" applyBorder="1" applyAlignment="1"/>
    <xf numFmtId="167" fontId="4" fillId="0" borderId="0" xfId="4" applyNumberFormat="1" applyFont="1" applyFill="1"/>
    <xf numFmtId="0" fontId="3" fillId="0" borderId="0" xfId="3" applyFill="1" applyAlignment="1">
      <alignment textRotation="45"/>
    </xf>
    <xf numFmtId="167" fontId="4" fillId="0" borderId="0" xfId="1" applyNumberFormat="1" applyFont="1" applyFill="1"/>
    <xf numFmtId="165" fontId="4" fillId="0" borderId="0" xfId="2" applyNumberFormat="1" applyFont="1" applyFill="1"/>
    <xf numFmtId="167" fontId="4" fillId="0" borderId="3" xfId="1" applyNumberFormat="1" applyFont="1" applyFill="1" applyBorder="1"/>
    <xf numFmtId="167" fontId="4" fillId="0" borderId="0" xfId="1" applyNumberFormat="1" applyFont="1" applyFill="1" applyBorder="1"/>
    <xf numFmtId="41" fontId="4" fillId="0" borderId="1" xfId="3" applyNumberFormat="1" applyFont="1" applyFill="1" applyBorder="1"/>
    <xf numFmtId="0" fontId="0" fillId="0" borderId="0" xfId="0"/>
    <xf numFmtId="3" fontId="7" fillId="0" borderId="0" xfId="47" applyNumberFormat="1" applyFont="1" applyFill="1" applyAlignment="1">
      <alignment horizontal="center"/>
    </xf>
    <xf numFmtId="0" fontId="0" fillId="2" borderId="0" xfId="0" applyFill="1"/>
    <xf numFmtId="0" fontId="7" fillId="2" borderId="1" xfId="47" applyFont="1" applyFill="1" applyBorder="1" applyAlignment="1">
      <alignment horizontal="center"/>
    </xf>
    <xf numFmtId="0" fontId="8" fillId="2" borderId="0" xfId="47" applyFont="1" applyFill="1" applyAlignment="1">
      <alignment horizontal="center"/>
    </xf>
    <xf numFmtId="0" fontId="7" fillId="2" borderId="0" xfId="47" applyFont="1" applyFill="1" applyAlignment="1">
      <alignment horizontal="center"/>
    </xf>
    <xf numFmtId="0" fontId="4" fillId="0" borderId="0" xfId="47"/>
    <xf numFmtId="0" fontId="4" fillId="0" borderId="0" xfId="47" applyFill="1" applyBorder="1"/>
    <xf numFmtId="0" fontId="4" fillId="0" borderId="0" xfId="47" applyBorder="1"/>
    <xf numFmtId="0" fontId="8" fillId="0" borderId="0" xfId="47" applyFont="1" applyFill="1"/>
    <xf numFmtId="0" fontId="7" fillId="0" borderId="0" xfId="47" applyFont="1" applyFill="1" applyBorder="1" applyAlignment="1">
      <alignment horizontal="center"/>
    </xf>
    <xf numFmtId="0" fontId="8" fillId="0" borderId="0" xfId="47" applyFont="1" applyFill="1" applyBorder="1"/>
    <xf numFmtId="0" fontId="7" fillId="0" borderId="0" xfId="47" applyFont="1" applyFill="1" applyBorder="1"/>
    <xf numFmtId="41" fontId="8" fillId="0" borderId="0" xfId="47" applyNumberFormat="1" applyFont="1" applyFill="1" applyAlignment="1">
      <alignment horizontal="right"/>
    </xf>
    <xf numFmtId="41" fontId="8" fillId="0" borderId="0" xfId="47" applyNumberFormat="1" applyFont="1" applyFill="1" applyBorder="1" applyAlignment="1">
      <alignment horizontal="right"/>
    </xf>
    <xf numFmtId="0" fontId="8" fillId="0" borderId="0" xfId="47" applyFont="1" applyFill="1" applyAlignment="1">
      <alignment horizontal="center"/>
    </xf>
    <xf numFmtId="41" fontId="8" fillId="0" borderId="0" xfId="47" applyNumberFormat="1" applyFont="1" applyFill="1"/>
    <xf numFmtId="3" fontId="8" fillId="0" borderId="0" xfId="47" applyNumberFormat="1" applyFont="1" applyFill="1" applyBorder="1" applyAlignment="1">
      <alignment horizontal="right"/>
    </xf>
    <xf numFmtId="10" fontId="8" fillId="0" borderId="0" xfId="47" applyNumberFormat="1" applyFont="1" applyFill="1" applyAlignment="1">
      <alignment horizontal="right"/>
    </xf>
    <xf numFmtId="0" fontId="7" fillId="0" borderId="0" xfId="47" applyFont="1" applyFill="1"/>
    <xf numFmtId="10" fontId="7" fillId="0" borderId="0" xfId="47" applyNumberFormat="1" applyFont="1" applyFill="1" applyBorder="1" applyAlignment="1">
      <alignment horizontal="center"/>
    </xf>
    <xf numFmtId="166" fontId="8" fillId="0" borderId="0" xfId="47" applyNumberFormat="1" applyFont="1" applyFill="1" applyAlignment="1">
      <alignment horizontal="right"/>
    </xf>
    <xf numFmtId="41" fontId="8" fillId="0" borderId="0" xfId="47" applyNumberFormat="1" applyFont="1" applyFill="1" applyBorder="1"/>
    <xf numFmtId="3" fontId="8" fillId="0" borderId="0" xfId="47" applyNumberFormat="1" applyFont="1" applyFill="1" applyBorder="1"/>
    <xf numFmtId="166" fontId="8" fillId="0" borderId="0" xfId="47" applyNumberFormat="1" applyFont="1" applyFill="1" applyBorder="1" applyAlignment="1">
      <alignment horizontal="right"/>
    </xf>
    <xf numFmtId="166" fontId="8" fillId="0" borderId="2" xfId="47" applyNumberFormat="1" applyFont="1" applyFill="1" applyBorder="1" applyAlignment="1">
      <alignment horizontal="right"/>
    </xf>
    <xf numFmtId="2" fontId="7" fillId="0" borderId="0" xfId="47" applyNumberFormat="1" applyFont="1" applyFill="1" applyAlignment="1">
      <alignment horizontal="center"/>
    </xf>
    <xf numFmtId="49" fontId="8" fillId="0" borderId="0" xfId="47" applyNumberFormat="1" applyFont="1" applyFill="1"/>
    <xf numFmtId="49" fontId="7" fillId="0" borderId="0" xfId="47" applyNumberFormat="1" applyFont="1" applyFill="1" applyAlignment="1">
      <alignment horizontal="center"/>
    </xf>
    <xf numFmtId="0" fontId="7" fillId="0" borderId="1" xfId="47" applyFont="1" applyFill="1" applyBorder="1" applyAlignment="1">
      <alignment horizontal="center"/>
    </xf>
    <xf numFmtId="0" fontId="8" fillId="0" borderId="1" xfId="47" applyFont="1" applyFill="1" applyBorder="1"/>
    <xf numFmtId="2" fontId="7" fillId="0" borderId="1" xfId="47" applyNumberFormat="1" applyFont="1" applyFill="1" applyBorder="1" applyAlignment="1">
      <alignment horizontal="center"/>
    </xf>
    <xf numFmtId="49" fontId="7" fillId="0" borderId="1" xfId="47" applyNumberFormat="1" applyFont="1" applyFill="1" applyBorder="1" applyAlignment="1">
      <alignment horizontal="center"/>
    </xf>
    <xf numFmtId="2" fontId="8" fillId="0" borderId="0" xfId="47" applyNumberFormat="1" applyFont="1" applyFill="1" applyAlignment="1">
      <alignment horizontal="center"/>
    </xf>
    <xf numFmtId="49" fontId="8" fillId="0" borderId="0" xfId="47" applyNumberFormat="1" applyFont="1" applyFill="1" applyAlignment="1">
      <alignment horizontal="center"/>
    </xf>
    <xf numFmtId="166" fontId="8" fillId="0" borderId="3" xfId="47" applyNumberFormat="1" applyFont="1" applyFill="1" applyBorder="1" applyAlignment="1">
      <alignment horizontal="right"/>
    </xf>
    <xf numFmtId="10" fontId="8" fillId="0" borderId="3" xfId="47" applyNumberFormat="1" applyFont="1" applyFill="1" applyBorder="1" applyAlignment="1">
      <alignment horizontal="right"/>
    </xf>
    <xf numFmtId="10" fontId="8" fillId="0" borderId="0" xfId="47" applyNumberFormat="1" applyFont="1" applyFill="1" applyBorder="1" applyAlignment="1">
      <alignment horizontal="right"/>
    </xf>
    <xf numFmtId="166" fontId="8" fillId="0" borderId="0" xfId="47" applyNumberFormat="1" applyFont="1" applyFill="1" applyAlignment="1">
      <alignment horizontal="center"/>
    </xf>
    <xf numFmtId="10" fontId="8" fillId="0" borderId="0" xfId="47" applyNumberFormat="1" applyFont="1" applyFill="1" applyAlignment="1">
      <alignment horizontal="center"/>
    </xf>
    <xf numFmtId="41" fontId="8" fillId="0" borderId="0" xfId="47" applyNumberFormat="1" applyFont="1" applyFill="1" applyAlignment="1">
      <alignment horizontal="center"/>
    </xf>
    <xf numFmtId="41" fontId="8" fillId="0" borderId="3" xfId="47" applyNumberFormat="1" applyFont="1" applyFill="1" applyBorder="1" applyAlignment="1">
      <alignment horizontal="right"/>
    </xf>
    <xf numFmtId="41" fontId="8" fillId="0" borderId="3" xfId="47" applyNumberFormat="1" applyFont="1" applyFill="1" applyBorder="1" applyAlignment="1">
      <alignment horizontal="center"/>
    </xf>
    <xf numFmtId="166" fontId="8" fillId="0" borderId="0" xfId="47" applyNumberFormat="1" applyFont="1" applyFill="1"/>
    <xf numFmtId="10" fontId="8" fillId="0" borderId="0" xfId="47" applyNumberFormat="1" applyFont="1" applyFill="1"/>
    <xf numFmtId="10" fontId="8" fillId="0" borderId="2" xfId="47" applyNumberFormat="1" applyFont="1" applyFill="1" applyBorder="1" applyAlignment="1">
      <alignment horizontal="right"/>
    </xf>
    <xf numFmtId="0" fontId="8" fillId="0" borderId="0" xfId="47" applyFont="1" applyFill="1" applyBorder="1" applyAlignment="1">
      <alignment horizontal="center"/>
    </xf>
    <xf numFmtId="41" fontId="8" fillId="2" borderId="0" xfId="47" applyNumberFormat="1" applyFont="1" applyFill="1" applyAlignment="1">
      <alignment horizontal="right"/>
    </xf>
    <xf numFmtId="41" fontId="8" fillId="2" borderId="0" xfId="47" applyNumberFormat="1" applyFont="1" applyFill="1" applyBorder="1" applyAlignment="1">
      <alignment horizontal="right"/>
    </xf>
    <xf numFmtId="41" fontId="8" fillId="2" borderId="0" xfId="47" applyNumberFormat="1" applyFont="1" applyFill="1" applyAlignment="1">
      <alignment horizontal="center"/>
    </xf>
    <xf numFmtId="41" fontId="8" fillId="2" borderId="3" xfId="47" applyNumberFormat="1" applyFont="1" applyFill="1" applyBorder="1" applyAlignment="1">
      <alignment horizontal="right"/>
    </xf>
    <xf numFmtId="41" fontId="8" fillId="0" borderId="0" xfId="47" applyNumberFormat="1" applyFont="1" applyFill="1" applyBorder="1" applyAlignment="1">
      <alignment horizontal="center"/>
    </xf>
    <xf numFmtId="41" fontId="8" fillId="2" borderId="0" xfId="47" applyNumberFormat="1" applyFont="1" applyFill="1"/>
    <xf numFmtId="0" fontId="0" fillId="0" borderId="0" xfId="0" applyFill="1"/>
    <xf numFmtId="165" fontId="8" fillId="0" borderId="0" xfId="2" applyNumberFormat="1" applyFont="1" applyFill="1" applyAlignment="1">
      <alignment horizontal="right"/>
    </xf>
    <xf numFmtId="41" fontId="4" fillId="0" borderId="0" xfId="15" applyNumberFormat="1" applyFont="1" applyFill="1" applyAlignment="1">
      <alignment horizontal="right"/>
    </xf>
    <xf numFmtId="0" fontId="8" fillId="0" borderId="0" xfId="51" applyFont="1"/>
    <xf numFmtId="0" fontId="7" fillId="0" borderId="0" xfId="51" applyFont="1" applyAlignment="1">
      <alignment horizontal="centerContinuous"/>
    </xf>
    <xf numFmtId="0" fontId="8" fillId="0" borderId="0" xfId="51" applyFont="1" applyAlignment="1">
      <alignment horizontal="centerContinuous"/>
    </xf>
    <xf numFmtId="10" fontId="8" fillId="0" borderId="0" xfId="51" applyNumberFormat="1" applyFont="1" applyAlignment="1">
      <alignment horizontal="centerContinuous"/>
    </xf>
    <xf numFmtId="0" fontId="9" fillId="0" borderId="0" xfId="51" applyFont="1" applyAlignment="1">
      <alignment horizontal="centerContinuous"/>
    </xf>
    <xf numFmtId="0" fontId="9" fillId="0" borderId="0" xfId="51" applyFont="1"/>
    <xf numFmtId="10" fontId="8" fillId="0" borderId="0" xfId="51" applyNumberFormat="1" applyFont="1"/>
    <xf numFmtId="0" fontId="7" fillId="0" borderId="0" xfId="51" applyFont="1" applyAlignment="1">
      <alignment horizontal="center"/>
    </xf>
    <xf numFmtId="166" fontId="8" fillId="0" borderId="0" xfId="51" applyNumberFormat="1" applyFont="1" applyAlignment="1">
      <alignment horizontal="right"/>
    </xf>
    <xf numFmtId="10" fontId="8" fillId="0" borderId="0" xfId="51" applyNumberFormat="1" applyFont="1" applyAlignment="1">
      <alignment horizontal="right"/>
    </xf>
    <xf numFmtId="41" fontId="8" fillId="0" borderId="0" xfId="51" applyNumberFormat="1" applyFont="1" applyFill="1" applyAlignment="1">
      <alignment horizontal="right"/>
    </xf>
    <xf numFmtId="0" fontId="8" fillId="0" borderId="0" xfId="51" applyFont="1" applyAlignment="1">
      <alignment wrapText="1"/>
    </xf>
    <xf numFmtId="41" fontId="8" fillId="0" borderId="1" xfId="51" applyNumberFormat="1" applyFont="1" applyFill="1" applyBorder="1" applyAlignment="1">
      <alignment horizontal="right"/>
    </xf>
    <xf numFmtId="166" fontId="8" fillId="0" borderId="1" xfId="51" applyNumberFormat="1" applyFont="1" applyBorder="1" applyAlignment="1">
      <alignment horizontal="right"/>
    </xf>
    <xf numFmtId="10" fontId="8" fillId="0" borderId="1" xfId="51" applyNumberFormat="1" applyFont="1" applyBorder="1" applyAlignment="1">
      <alignment horizontal="right"/>
    </xf>
    <xf numFmtId="41" fontId="8" fillId="0" borderId="0" xfId="51" applyNumberFormat="1" applyFont="1" applyFill="1" applyBorder="1" applyAlignment="1">
      <alignment horizontal="right"/>
    </xf>
    <xf numFmtId="3" fontId="8" fillId="0" borderId="0" xfId="51" applyNumberFormat="1" applyFont="1" applyBorder="1" applyAlignment="1">
      <alignment horizontal="right"/>
    </xf>
    <xf numFmtId="166" fontId="8" fillId="0" borderId="0" xfId="51" applyNumberFormat="1" applyFont="1" applyBorder="1" applyAlignment="1">
      <alignment horizontal="right"/>
    </xf>
    <xf numFmtId="10" fontId="8" fillId="0" borderId="0" xfId="51" applyNumberFormat="1" applyFont="1" applyBorder="1" applyAlignment="1">
      <alignment horizontal="right"/>
    </xf>
    <xf numFmtId="166" fontId="8" fillId="0" borderId="2" xfId="51" applyNumberFormat="1" applyFont="1" applyBorder="1" applyAlignment="1">
      <alignment horizontal="right"/>
    </xf>
    <xf numFmtId="10" fontId="8" fillId="0" borderId="2" xfId="51" applyNumberFormat="1" applyFont="1" applyBorder="1" applyAlignment="1">
      <alignment horizontal="right"/>
    </xf>
    <xf numFmtId="0" fontId="8" fillId="0" borderId="0" xfId="51" applyFont="1" applyBorder="1" applyAlignment="1">
      <alignment horizontal="centerContinuous"/>
    </xf>
    <xf numFmtId="6" fontId="8" fillId="0" borderId="0" xfId="51" applyNumberFormat="1" applyFont="1" applyFill="1" applyBorder="1" applyAlignment="1">
      <alignment horizontal="right"/>
    </xf>
    <xf numFmtId="6" fontId="8" fillId="0" borderId="0" xfId="51" applyNumberFormat="1" applyFont="1" applyFill="1" applyBorder="1"/>
    <xf numFmtId="10" fontId="8" fillId="0" borderId="0" xfId="51" applyNumberFormat="1" applyFont="1" applyFill="1" applyBorder="1" applyAlignment="1">
      <alignment horizontal="right"/>
    </xf>
    <xf numFmtId="0" fontId="8" fillId="0" borderId="0" xfId="51" applyFont="1" applyBorder="1"/>
    <xf numFmtId="10" fontId="8" fillId="0" borderId="0" xfId="51" applyNumberFormat="1" applyFont="1" applyFill="1" applyBorder="1" applyAlignment="1">
      <alignment horizontal="centerContinuous"/>
    </xf>
    <xf numFmtId="0" fontId="10" fillId="0" borderId="0" xfId="0" applyFont="1"/>
    <xf numFmtId="167" fontId="10" fillId="0" borderId="0" xfId="1" applyNumberFormat="1" applyFont="1"/>
    <xf numFmtId="167" fontId="10" fillId="0" borderId="0" xfId="1" applyNumberFormat="1" applyFont="1" applyAlignment="1">
      <alignment horizontal="center"/>
    </xf>
    <xf numFmtId="165" fontId="10" fillId="0" borderId="0" xfId="2" applyNumberFormat="1" applyFont="1"/>
    <xf numFmtId="165" fontId="10" fillId="0" borderId="0" xfId="2" applyNumberFormat="1" applyFont="1" applyFill="1"/>
    <xf numFmtId="167" fontId="10" fillId="0" borderId="0" xfId="1" applyNumberFormat="1" applyFont="1" applyFill="1"/>
    <xf numFmtId="167" fontId="10" fillId="0" borderId="3" xfId="1" applyNumberFormat="1" applyFont="1" applyBorder="1"/>
    <xf numFmtId="165" fontId="10" fillId="0" borderId="4" xfId="2" applyNumberFormat="1" applyFont="1" applyBorder="1"/>
    <xf numFmtId="165" fontId="10" fillId="0" borderId="0" xfId="2" applyNumberFormat="1" applyFont="1" applyBorder="1"/>
    <xf numFmtId="6" fontId="5" fillId="0" borderId="0" xfId="3" applyNumberFormat="1" applyFont="1" applyFill="1" applyBorder="1" applyAlignment="1">
      <alignment horizontal="center"/>
    </xf>
    <xf numFmtId="41" fontId="4" fillId="0" borderId="0" xfId="3" applyNumberFormat="1" applyFont="1" applyFill="1" applyBorder="1"/>
    <xf numFmtId="0" fontId="2" fillId="0" borderId="0" xfId="0" applyFont="1"/>
    <xf numFmtId="167" fontId="4" fillId="0" borderId="3" xfId="4" applyNumberFormat="1" applyFont="1" applyFill="1" applyBorder="1"/>
    <xf numFmtId="0" fontId="5" fillId="0" borderId="0" xfId="3" applyFont="1" applyFill="1" applyAlignment="1">
      <alignment horizontal="left"/>
    </xf>
    <xf numFmtId="38" fontId="4" fillId="0" borderId="1" xfId="3" applyNumberFormat="1" applyFont="1" applyFill="1" applyBorder="1"/>
    <xf numFmtId="10" fontId="8" fillId="0" borderId="0" xfId="51" applyNumberFormat="1" applyFont="1" applyFill="1" applyBorder="1"/>
    <xf numFmtId="2" fontId="7" fillId="0" borderId="0" xfId="47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165" fontId="8" fillId="0" borderId="0" xfId="2" applyNumberFormat="1" applyFont="1" applyFill="1" applyBorder="1" applyAlignment="1">
      <alignment horizontal="right"/>
    </xf>
    <xf numFmtId="3" fontId="7" fillId="0" borderId="0" xfId="47" applyNumberFormat="1" applyFont="1" applyFill="1" applyBorder="1" applyAlignment="1">
      <alignment horizontal="center"/>
    </xf>
    <xf numFmtId="164" fontId="8" fillId="0" borderId="0" xfId="47" applyNumberFormat="1" applyFont="1" applyFill="1" applyBorder="1" applyAlignment="1">
      <alignment horizontal="right"/>
    </xf>
    <xf numFmtId="0" fontId="8" fillId="0" borderId="0" xfId="47" applyFont="1" applyFill="1" applyBorder="1" applyAlignment="1">
      <alignment horizontal="right"/>
    </xf>
    <xf numFmtId="2" fontId="8" fillId="0" borderId="0" xfId="47" applyNumberFormat="1" applyFont="1" applyFill="1" applyBorder="1" applyAlignment="1">
      <alignment horizontal="center"/>
    </xf>
    <xf numFmtId="166" fontId="8" fillId="0" borderId="0" xfId="47" applyNumberFormat="1" applyFont="1" applyFill="1" applyBorder="1" applyAlignment="1">
      <alignment horizontal="center"/>
    </xf>
    <xf numFmtId="166" fontId="8" fillId="0" borderId="0" xfId="47" applyNumberFormat="1" applyFont="1" applyFill="1" applyBorder="1"/>
    <xf numFmtId="0" fontId="10" fillId="0" borderId="0" xfId="0" applyFont="1" applyAlignment="1">
      <alignment horizontal="right"/>
    </xf>
    <xf numFmtId="167" fontId="10" fillId="0" borderId="0" xfId="1" applyNumberFormat="1" applyFont="1" applyAlignment="1">
      <alignment horizontal="center" wrapText="1"/>
    </xf>
    <xf numFmtId="0" fontId="7" fillId="0" borderId="0" xfId="47" applyFont="1" applyFill="1" applyAlignment="1">
      <alignment horizontal="center"/>
    </xf>
    <xf numFmtId="3" fontId="7" fillId="0" borderId="1" xfId="47" applyNumberFormat="1" applyFont="1" applyFill="1" applyBorder="1" applyAlignment="1">
      <alignment horizontal="center"/>
    </xf>
    <xf numFmtId="165" fontId="4" fillId="0" borderId="4" xfId="2" applyNumberFormat="1" applyFont="1" applyFill="1" applyBorder="1"/>
    <xf numFmtId="165" fontId="8" fillId="0" borderId="2" xfId="2" applyNumberFormat="1" applyFont="1" applyFill="1" applyBorder="1" applyAlignment="1">
      <alignment horizontal="right"/>
    </xf>
    <xf numFmtId="0" fontId="8" fillId="0" borderId="0" xfId="51" applyFont="1" applyFill="1"/>
    <xf numFmtId="6" fontId="8" fillId="0" borderId="0" xfId="51" applyNumberFormat="1" applyFont="1" applyFill="1"/>
    <xf numFmtId="167" fontId="10" fillId="0" borderId="3" xfId="1" applyNumberFormat="1" applyFont="1" applyFill="1" applyBorder="1"/>
    <xf numFmtId="165" fontId="10" fillId="0" borderId="4" xfId="2" applyNumberFormat="1" applyFont="1" applyFill="1" applyBorder="1"/>
    <xf numFmtId="165" fontId="10" fillId="0" borderId="0" xfId="2" applyNumberFormat="1" applyFont="1" applyFill="1" applyBorder="1"/>
    <xf numFmtId="167" fontId="10" fillId="2" borderId="0" xfId="1" applyNumberFormat="1" applyFont="1" applyFill="1"/>
    <xf numFmtId="165" fontId="10" fillId="2" borderId="0" xfId="2" applyNumberFormat="1" applyFont="1" applyFill="1"/>
    <xf numFmtId="165" fontId="10" fillId="2" borderId="0" xfId="2" applyNumberFormat="1" applyFont="1" applyFill="1" applyBorder="1"/>
    <xf numFmtId="3" fontId="5" fillId="0" borderId="0" xfId="47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3" fillId="0" borderId="0" xfId="3" applyFill="1"/>
    <xf numFmtId="165" fontId="3" fillId="0" borderId="0" xfId="2" applyNumberFormat="1" applyFont="1" applyFill="1"/>
    <xf numFmtId="167" fontId="10" fillId="0" borderId="0" xfId="1" applyNumberFormat="1" applyFont="1"/>
    <xf numFmtId="6" fontId="5" fillId="0" borderId="0" xfId="3" applyNumberFormat="1" applyFont="1" applyFill="1" applyAlignment="1">
      <alignment horizontal="right"/>
    </xf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6" fontId="5" fillId="0" borderId="1" xfId="3" applyNumberFormat="1" applyFont="1" applyFill="1" applyBorder="1" applyAlignment="1">
      <alignment horizontal="center"/>
    </xf>
    <xf numFmtId="38" fontId="5" fillId="0" borderId="0" xfId="3" applyNumberFormat="1" applyFont="1" applyFill="1" applyBorder="1" applyAlignment="1">
      <alignment horizontal="right"/>
    </xf>
    <xf numFmtId="167" fontId="3" fillId="0" borderId="0" xfId="1" applyNumberFormat="1" applyFont="1" applyFill="1"/>
    <xf numFmtId="167" fontId="0" fillId="0" borderId="0" xfId="1" applyNumberFormat="1" applyFont="1" applyFill="1"/>
    <xf numFmtId="0" fontId="0" fillId="0" borderId="0" xfId="0"/>
    <xf numFmtId="10" fontId="0" fillId="0" borderId="0" xfId="57" applyNumberFormat="1" applyFont="1"/>
    <xf numFmtId="10" fontId="4" fillId="0" borderId="0" xfId="57" applyNumberFormat="1" applyFont="1" applyFill="1"/>
    <xf numFmtId="10" fontId="0" fillId="0" borderId="0" xfId="57" applyNumberFormat="1" applyFont="1" applyBorder="1"/>
    <xf numFmtId="10" fontId="8" fillId="0" borderId="0" xfId="57" applyNumberFormat="1" applyFont="1" applyFill="1" applyBorder="1" applyAlignment="1">
      <alignment horizontal="right"/>
    </xf>
    <xf numFmtId="10" fontId="10" fillId="0" borderId="0" xfId="57" applyNumberFormat="1" applyFont="1"/>
    <xf numFmtId="10" fontId="8" fillId="0" borderId="0" xfId="57" applyNumberFormat="1" applyFont="1" applyBorder="1" applyAlignment="1">
      <alignment horizontal="right"/>
    </xf>
    <xf numFmtId="0" fontId="0" fillId="0" borderId="3" xfId="0" applyBorder="1"/>
    <xf numFmtId="0" fontId="10" fillId="0" borderId="3" xfId="0" applyFont="1" applyBorder="1"/>
    <xf numFmtId="0" fontId="5" fillId="0" borderId="1" xfId="3" applyFont="1" applyFill="1" applyBorder="1" applyAlignment="1">
      <alignment horizontal="center"/>
    </xf>
    <xf numFmtId="38" fontId="5" fillId="0" borderId="1" xfId="3" applyNumberFormat="1" applyFont="1" applyFill="1" applyBorder="1" applyAlignment="1">
      <alignment horizontal="center"/>
    </xf>
    <xf numFmtId="168" fontId="0" fillId="0" borderId="0" xfId="0" applyNumberFormat="1"/>
    <xf numFmtId="0" fontId="7" fillId="0" borderId="0" xfId="47" applyFont="1" applyFill="1" applyAlignment="1">
      <alignment horizontal="center"/>
    </xf>
    <xf numFmtId="167" fontId="13" fillId="0" borderId="0" xfId="1" applyNumberFormat="1" applyFont="1" applyFill="1"/>
    <xf numFmtId="0" fontId="7" fillId="0" borderId="0" xfId="47" applyFont="1" applyFill="1" applyAlignment="1">
      <alignment horizontal="center"/>
    </xf>
    <xf numFmtId="6" fontId="7" fillId="0" borderId="0" xfId="51" applyNumberFormat="1" applyFont="1" applyFill="1" applyAlignment="1">
      <alignment horizontal="centerContinuous"/>
    </xf>
    <xf numFmtId="6" fontId="8" fillId="0" borderId="0" xfId="51" applyNumberFormat="1" applyFont="1" applyFill="1" applyAlignment="1">
      <alignment horizontal="centerContinuous"/>
    </xf>
    <xf numFmtId="6" fontId="7" fillId="0" borderId="0" xfId="51" applyNumberFormat="1" applyFont="1" applyFill="1" applyBorder="1" applyAlignment="1">
      <alignment horizontal="centerContinuous"/>
    </xf>
    <xf numFmtId="0" fontId="7" fillId="0" borderId="0" xfId="51" applyFont="1" applyFill="1" applyAlignment="1">
      <alignment horizontal="centerContinuous"/>
    </xf>
    <xf numFmtId="6" fontId="8" fillId="0" borderId="0" xfId="51" applyNumberFormat="1" applyFont="1" applyFill="1" applyBorder="1" applyAlignment="1">
      <alignment horizontal="centerContinuous"/>
    </xf>
    <xf numFmtId="0" fontId="8" fillId="0" borderId="0" xfId="51" applyFont="1" applyFill="1" applyAlignment="1">
      <alignment horizontal="centerContinuous"/>
    </xf>
    <xf numFmtId="0" fontId="7" fillId="0" borderId="0" xfId="51" applyFont="1" applyFill="1" applyBorder="1" applyAlignment="1">
      <alignment horizontal="center"/>
    </xf>
    <xf numFmtId="41" fontId="0" fillId="0" borderId="0" xfId="0" applyNumberFormat="1" applyFill="1"/>
    <xf numFmtId="0" fontId="7" fillId="0" borderId="0" xfId="51" applyFont="1" applyFill="1" applyBorder="1" applyAlignment="1">
      <alignment horizontal="centerContinuous"/>
    </xf>
    <xf numFmtId="0" fontId="8" fillId="0" borderId="0" xfId="51" applyFont="1" applyFill="1" applyBorder="1" applyAlignment="1">
      <alignment horizontal="centerContinuous"/>
    </xf>
    <xf numFmtId="0" fontId="8" fillId="0" borderId="0" xfId="51" applyFont="1" applyFill="1" applyBorder="1"/>
    <xf numFmtId="41" fontId="4" fillId="0" borderId="1" xfId="3" applyNumberFormat="1" applyFont="1" applyFill="1" applyBorder="1" applyAlignment="1">
      <alignment horizontal="right"/>
    </xf>
    <xf numFmtId="0" fontId="7" fillId="0" borderId="0" xfId="47" applyFont="1" applyFill="1" applyAlignment="1">
      <alignment horizontal="center"/>
    </xf>
    <xf numFmtId="165" fontId="4" fillId="0" borderId="2" xfId="2" applyNumberFormat="1" applyFont="1" applyFill="1" applyBorder="1"/>
    <xf numFmtId="0" fontId="2" fillId="0" borderId="0" xfId="0" applyFont="1" applyFill="1" applyAlignment="1">
      <alignment horizontal="center"/>
    </xf>
    <xf numFmtId="41" fontId="3" fillId="0" borderId="0" xfId="3" applyNumberFormat="1" applyFont="1" applyFill="1"/>
    <xf numFmtId="169" fontId="6" fillId="0" borderId="0" xfId="3" applyNumberFormat="1" applyFont="1" applyFill="1" applyBorder="1" applyAlignment="1"/>
    <xf numFmtId="167" fontId="14" fillId="0" borderId="0" xfId="1" applyNumberFormat="1" applyFont="1" applyFill="1"/>
    <xf numFmtId="167" fontId="14" fillId="2" borderId="0" xfId="1" applyNumberFormat="1" applyFont="1" applyFill="1" applyAlignment="1">
      <alignment horizontal="center"/>
    </xf>
    <xf numFmtId="167" fontId="14" fillId="0" borderId="0" xfId="1" applyNumberFormat="1" applyFont="1" applyFill="1" applyAlignment="1">
      <alignment horizontal="center"/>
    </xf>
    <xf numFmtId="167" fontId="14" fillId="2" borderId="0" xfId="1" applyNumberFormat="1" applyFont="1" applyFill="1"/>
    <xf numFmtId="167" fontId="14" fillId="0" borderId="0" xfId="1" applyNumberFormat="1" applyFont="1" applyFill="1" applyAlignment="1">
      <alignment horizontal="center" wrapText="1"/>
    </xf>
    <xf numFmtId="167" fontId="14" fillId="2" borderId="0" xfId="1" applyNumberFormat="1" applyFont="1" applyFill="1" applyAlignment="1">
      <alignment horizontal="center" wrapText="1"/>
    </xf>
    <xf numFmtId="0" fontId="6" fillId="0" borderId="0" xfId="3" applyFont="1" applyFill="1" applyBorder="1" applyAlignment="1">
      <alignment horizontal="center"/>
    </xf>
    <xf numFmtId="167" fontId="14" fillId="3" borderId="0" xfId="1" applyNumberFormat="1" applyFont="1" applyFill="1" applyAlignment="1">
      <alignment horizontal="center" wrapText="1"/>
    </xf>
    <xf numFmtId="165" fontId="10" fillId="3" borderId="0" xfId="2" applyNumberFormat="1" applyFont="1" applyFill="1"/>
    <xf numFmtId="167" fontId="10" fillId="3" borderId="0" xfId="1" applyNumberFormat="1" applyFont="1" applyFill="1"/>
    <xf numFmtId="42" fontId="13" fillId="0" borderId="0" xfId="1" applyNumberFormat="1" applyFont="1" applyFill="1"/>
    <xf numFmtId="41" fontId="8" fillId="0" borderId="0" xfId="1" applyNumberFormat="1" applyFont="1" applyFill="1" applyAlignment="1">
      <alignment horizontal="right"/>
    </xf>
    <xf numFmtId="41" fontId="8" fillId="0" borderId="0" xfId="0" applyNumberFormat="1" applyFont="1" applyFill="1" applyAlignment="1">
      <alignment horizontal="right"/>
    </xf>
    <xf numFmtId="42" fontId="8" fillId="0" borderId="0" xfId="0" applyNumberFormat="1" applyFont="1" applyFill="1" applyAlignment="1">
      <alignment horizontal="right"/>
    </xf>
    <xf numFmtId="42" fontId="8" fillId="0" borderId="0" xfId="47" applyNumberFormat="1" applyFont="1" applyFill="1" applyAlignment="1">
      <alignment horizontal="right"/>
    </xf>
    <xf numFmtId="42" fontId="8" fillId="0" borderId="0" xfId="47" applyNumberFormat="1" applyFont="1" applyFill="1" applyBorder="1"/>
    <xf numFmtId="42" fontId="8" fillId="2" borderId="0" xfId="47" applyNumberFormat="1" applyFont="1" applyFill="1" applyAlignment="1">
      <alignment horizontal="right"/>
    </xf>
    <xf numFmtId="42" fontId="8" fillId="0" borderId="0" xfId="47" applyNumberFormat="1" applyFont="1" applyFill="1"/>
    <xf numFmtId="41" fontId="8" fillId="0" borderId="3" xfId="47" applyNumberFormat="1" applyFont="1" applyFill="1" applyBorder="1"/>
    <xf numFmtId="41" fontId="4" fillId="0" borderId="0" xfId="47" applyNumberFormat="1" applyFill="1" applyBorder="1"/>
    <xf numFmtId="41" fontId="4" fillId="0" borderId="0" xfId="47" applyNumberFormat="1"/>
    <xf numFmtId="41" fontId="4" fillId="0" borderId="0" xfId="47" applyNumberFormat="1" applyFill="1"/>
    <xf numFmtId="41" fontId="4" fillId="2" borderId="0" xfId="47" applyNumberFormat="1" applyFill="1"/>
    <xf numFmtId="41" fontId="8" fillId="2" borderId="3" xfId="47" applyNumberFormat="1" applyFont="1" applyFill="1" applyBorder="1"/>
    <xf numFmtId="41" fontId="8" fillId="2" borderId="0" xfId="47" applyNumberFormat="1" applyFont="1" applyFill="1" applyBorder="1"/>
    <xf numFmtId="42" fontId="8" fillId="0" borderId="0" xfId="47" applyNumberFormat="1" applyFont="1" applyFill="1" applyBorder="1" applyAlignment="1">
      <alignment horizontal="center"/>
    </xf>
    <xf numFmtId="42" fontId="8" fillId="0" borderId="0" xfId="47" applyNumberFormat="1" applyFont="1" applyFill="1" applyAlignment="1">
      <alignment horizontal="center"/>
    </xf>
    <xf numFmtId="42" fontId="8" fillId="0" borderId="0" xfId="47" applyNumberFormat="1" applyFont="1" applyFill="1" applyBorder="1" applyAlignment="1">
      <alignment horizontal="right"/>
    </xf>
    <xf numFmtId="42" fontId="8" fillId="0" borderId="2" xfId="47" applyNumberFormat="1" applyFont="1" applyFill="1" applyBorder="1" applyAlignment="1">
      <alignment horizontal="right"/>
    </xf>
    <xf numFmtId="41" fontId="8" fillId="0" borderId="1" xfId="47" applyNumberFormat="1" applyFont="1" applyFill="1" applyBorder="1" applyAlignment="1">
      <alignment horizontal="right"/>
    </xf>
    <xf numFmtId="41" fontId="8" fillId="0" borderId="1" xfId="47" applyNumberFormat="1" applyFont="1" applyFill="1" applyBorder="1" applyAlignment="1">
      <alignment horizontal="center"/>
    </xf>
    <xf numFmtId="166" fontId="8" fillId="0" borderId="1" xfId="47" applyNumberFormat="1" applyFont="1" applyFill="1" applyBorder="1" applyAlignment="1">
      <alignment horizontal="right"/>
    </xf>
    <xf numFmtId="10" fontId="8" fillId="0" borderId="1" xfId="47" applyNumberFormat="1" applyFont="1" applyFill="1" applyBorder="1" applyAlignment="1">
      <alignment horizontal="right"/>
    </xf>
    <xf numFmtId="0" fontId="6" fillId="0" borderId="0" xfId="3" applyFont="1" applyFill="1" applyAlignment="1">
      <alignment horizontal="center"/>
    </xf>
    <xf numFmtId="167" fontId="14" fillId="0" borderId="0" xfId="1" quotePrefix="1" applyNumberFormat="1" applyFont="1" applyFill="1"/>
    <xf numFmtId="42" fontId="8" fillId="0" borderId="2" xfId="2" applyNumberFormat="1" applyFont="1" applyFill="1" applyBorder="1" applyAlignment="1">
      <alignment horizontal="right"/>
    </xf>
    <xf numFmtId="167" fontId="3" fillId="0" borderId="3" xfId="1" applyNumberFormat="1" applyFont="1" applyFill="1" applyBorder="1"/>
    <xf numFmtId="0" fontId="10" fillId="0" borderId="0" xfId="0" applyFont="1" applyFill="1"/>
    <xf numFmtId="167" fontId="16" fillId="0" borderId="0" xfId="1" applyNumberFormat="1" applyFont="1" applyFill="1"/>
    <xf numFmtId="0" fontId="16" fillId="0" borderId="0" xfId="0" applyFont="1" applyFill="1"/>
    <xf numFmtId="6" fontId="3" fillId="0" borderId="0" xfId="3" applyNumberFormat="1" applyFont="1" applyFill="1"/>
    <xf numFmtId="38" fontId="5" fillId="0" borderId="0" xfId="3" applyNumberFormat="1" applyFont="1" applyFill="1" applyAlignment="1">
      <alignment horizontal="center"/>
    </xf>
    <xf numFmtId="42" fontId="4" fillId="0" borderId="4" xfId="3" applyNumberFormat="1" applyFont="1" applyFill="1" applyBorder="1" applyAlignment="1">
      <alignment horizontal="right"/>
    </xf>
    <xf numFmtId="0" fontId="0" fillId="0" borderId="0" xfId="0" applyFill="1" applyAlignment="1"/>
    <xf numFmtId="41" fontId="3" fillId="0" borderId="0" xfId="3" applyNumberFormat="1" applyFont="1" applyFill="1" applyAlignment="1">
      <alignment horizontal="right"/>
    </xf>
    <xf numFmtId="41" fontId="3" fillId="0" borderId="0" xfId="56" applyNumberFormat="1" applyFont="1" applyFill="1" applyAlignment="1">
      <alignment horizontal="right"/>
    </xf>
    <xf numFmtId="41" fontId="3" fillId="0" borderId="0" xfId="3" applyNumberFormat="1" applyFont="1" applyFill="1" applyBorder="1"/>
    <xf numFmtId="0" fontId="3" fillId="0" borderId="0" xfId="3" applyFont="1" applyFill="1"/>
    <xf numFmtId="165" fontId="3" fillId="0" borderId="4" xfId="2" applyNumberFormat="1" applyFont="1" applyFill="1" applyBorder="1"/>
    <xf numFmtId="165" fontId="3" fillId="0" borderId="0" xfId="2" applyNumberFormat="1" applyFont="1" applyFill="1" applyBorder="1"/>
    <xf numFmtId="0" fontId="17" fillId="4" borderId="0" xfId="66" applyNumberFormat="1" applyFill="1"/>
    <xf numFmtId="0" fontId="17" fillId="4" borderId="5" xfId="66" applyNumberFormat="1" applyFill="1" applyBorder="1"/>
    <xf numFmtId="0" fontId="17" fillId="4" borderId="6" xfId="66" applyNumberFormat="1" applyFill="1" applyBorder="1"/>
    <xf numFmtId="0" fontId="17" fillId="4" borderId="7" xfId="66" applyNumberFormat="1" applyFill="1" applyBorder="1"/>
    <xf numFmtId="0" fontId="17" fillId="4" borderId="0" xfId="66" applyNumberFormat="1" applyFill="1" applyBorder="1"/>
    <xf numFmtId="0" fontId="17" fillId="4" borderId="8" xfId="66" applyNumberFormat="1" applyFill="1" applyBorder="1"/>
    <xf numFmtId="0" fontId="17" fillId="4" borderId="9" xfId="66" applyNumberFormat="1" applyFill="1" applyBorder="1"/>
    <xf numFmtId="0" fontId="18" fillId="5" borderId="8" xfId="66" applyNumberFormat="1" applyFont="1" applyFill="1" applyBorder="1"/>
    <xf numFmtId="0" fontId="18" fillId="5" borderId="0" xfId="66" applyNumberFormat="1" applyFont="1" applyFill="1" applyBorder="1"/>
    <xf numFmtId="0" fontId="19" fillId="5" borderId="0" xfId="66" applyNumberFormat="1" applyFont="1" applyFill="1" applyBorder="1" applyAlignment="1">
      <alignment horizontal="centerContinuous"/>
    </xf>
    <xf numFmtId="0" fontId="18" fillId="5" borderId="0" xfId="66" applyNumberFormat="1" applyFont="1" applyFill="1" applyBorder="1" applyAlignment="1">
      <alignment horizontal="centerContinuous"/>
    </xf>
    <xf numFmtId="0" fontId="20" fillId="5" borderId="8" xfId="66" applyNumberFormat="1" applyFont="1" applyFill="1" applyBorder="1" applyAlignment="1">
      <alignment horizontal="centerContinuous"/>
    </xf>
    <xf numFmtId="0" fontId="19" fillId="5" borderId="8" xfId="66" applyNumberFormat="1" applyFont="1" applyFill="1" applyBorder="1" applyAlignment="1">
      <alignment horizontal="centerContinuous"/>
    </xf>
    <xf numFmtId="0" fontId="19" fillId="5" borderId="10" xfId="66" applyNumberFormat="1" applyFont="1" applyFill="1" applyBorder="1" applyAlignment="1">
      <alignment horizontal="centerContinuous"/>
    </xf>
    <xf numFmtId="0" fontId="19" fillId="5" borderId="11" xfId="66" applyNumberFormat="1" applyFont="1" applyFill="1" applyBorder="1" applyAlignment="1">
      <alignment horizontal="centerContinuous"/>
    </xf>
    <xf numFmtId="0" fontId="18" fillId="5" borderId="11" xfId="66" applyNumberFormat="1" applyFont="1" applyFill="1" applyBorder="1" applyAlignment="1">
      <alignment horizontal="centerContinuous"/>
    </xf>
    <xf numFmtId="0" fontId="17" fillId="4" borderId="12" xfId="66" applyNumberFormat="1" applyFill="1" applyBorder="1"/>
    <xf numFmtId="0" fontId="19" fillId="4" borderId="0" xfId="66" applyNumberFormat="1" applyFont="1" applyFill="1" applyAlignment="1">
      <alignment horizontal="centerContinuous"/>
    </xf>
    <xf numFmtId="0" fontId="18" fillId="4" borderId="0" xfId="66" applyNumberFormat="1" applyFont="1" applyFill="1" applyAlignment="1">
      <alignment horizontal="centerContinuous"/>
    </xf>
    <xf numFmtId="0" fontId="18" fillId="4" borderId="0" xfId="66" applyNumberFormat="1" applyFont="1" applyFill="1" applyBorder="1" applyAlignment="1">
      <alignment horizontal="centerContinuous"/>
    </xf>
    <xf numFmtId="0" fontId="18" fillId="5" borderId="5" xfId="66" applyNumberFormat="1" applyFont="1" applyFill="1" applyBorder="1"/>
    <xf numFmtId="0" fontId="18" fillId="5" borderId="6" xfId="66" applyNumberFormat="1" applyFont="1" applyFill="1" applyBorder="1"/>
    <xf numFmtId="0" fontId="21" fillId="5" borderId="8" xfId="66" applyNumberFormat="1" applyFont="1" applyFill="1" applyBorder="1" applyAlignment="1">
      <alignment horizontal="centerContinuous"/>
    </xf>
    <xf numFmtId="0" fontId="18" fillId="5" borderId="8" xfId="66" applyNumberFormat="1" applyFont="1" applyFill="1" applyBorder="1" applyAlignment="1">
      <alignment horizontal="centerContinuous"/>
    </xf>
    <xf numFmtId="0" fontId="18" fillId="4" borderId="8" xfId="66" applyNumberFormat="1" applyFont="1" applyFill="1" applyBorder="1" applyAlignment="1">
      <alignment horizontal="centerContinuous"/>
    </xf>
    <xf numFmtId="0" fontId="18" fillId="4" borderId="10" xfId="66" applyNumberFormat="1" applyFont="1" applyFill="1" applyBorder="1" applyAlignment="1">
      <alignment horizontal="centerContinuous"/>
    </xf>
    <xf numFmtId="0" fontId="18" fillId="4" borderId="11" xfId="66" applyNumberFormat="1" applyFont="1" applyFill="1" applyBorder="1" applyAlignment="1">
      <alignment horizontal="centerContinuous"/>
    </xf>
    <xf numFmtId="0" fontId="18" fillId="5" borderId="0" xfId="66" applyNumberFormat="1" applyFont="1" applyFill="1" applyAlignment="1">
      <alignment horizontal="centerContinuous"/>
    </xf>
    <xf numFmtId="0" fontId="18" fillId="5" borderId="5" xfId="66" applyNumberFormat="1" applyFont="1" applyFill="1" applyBorder="1" applyAlignment="1">
      <alignment horizontal="centerContinuous"/>
    </xf>
    <xf numFmtId="0" fontId="18" fillId="5" borderId="6" xfId="66" applyNumberFormat="1" applyFont="1" applyFill="1" applyBorder="1" applyAlignment="1">
      <alignment horizontal="centerContinuous"/>
    </xf>
    <xf numFmtId="0" fontId="22" fillId="5" borderId="8" xfId="66" applyNumberFormat="1" applyFont="1" applyFill="1" applyBorder="1" applyAlignment="1">
      <alignment horizontal="centerContinuous"/>
    </xf>
    <xf numFmtId="170" fontId="22" fillId="5" borderId="8" xfId="66" applyNumberFormat="1" applyFont="1" applyFill="1" applyBorder="1" applyAlignment="1">
      <alignment horizontal="centerContinuous"/>
    </xf>
    <xf numFmtId="0" fontId="19" fillId="5" borderId="0" xfId="66" applyNumberFormat="1" applyFont="1" applyFill="1" applyAlignment="1">
      <alignment horizontal="centerContinuous"/>
    </xf>
    <xf numFmtId="0" fontId="19" fillId="4" borderId="0" xfId="66" applyNumberFormat="1" applyFont="1" applyFill="1"/>
    <xf numFmtId="0" fontId="5" fillId="0" borderId="0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7" fontId="14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0" borderId="0" xfId="47" applyFont="1" applyFill="1" applyAlignment="1">
      <alignment horizontal="center"/>
    </xf>
    <xf numFmtId="0" fontId="7" fillId="0" borderId="0" xfId="47" applyFont="1" applyFill="1" applyAlignment="1">
      <alignment horizontal="center"/>
    </xf>
    <xf numFmtId="0" fontId="6" fillId="0" borderId="0" xfId="3" applyFont="1" applyFill="1" applyBorder="1" applyAlignment="1">
      <alignment horizontal="center"/>
    </xf>
  </cellXfs>
  <cellStyles count="67">
    <cellStyle name="Comma" xfId="1" builtinId="3"/>
    <cellStyle name="Comma 2" xfId="4"/>
    <cellStyle name="Comma 2 2" xfId="58"/>
    <cellStyle name="Comma 3" xfId="48"/>
    <cellStyle name="Comma 3 2" xfId="64"/>
    <cellStyle name="Currency" xfId="2" builtinId="4"/>
    <cellStyle name="Normal" xfId="0" builtinId="0"/>
    <cellStyle name="Normal 10" xfId="51"/>
    <cellStyle name="Normal 10 2" xfId="65"/>
    <cellStyle name="Normal 2" xfId="3"/>
    <cellStyle name="Normal 2 10" xfId="66"/>
    <cellStyle name="Normal 2 2" xfId="5"/>
    <cellStyle name="Normal 2 2 2" xfId="11"/>
    <cellStyle name="Normal 2 2 2 2" xfId="27"/>
    <cellStyle name="Normal 2 2 2 3" xfId="37"/>
    <cellStyle name="Normal 2 2 3" xfId="13"/>
    <cellStyle name="Normal 2 2 3 2" xfId="30"/>
    <cellStyle name="Normal 2 2 3 3" xfId="40"/>
    <cellStyle name="Normal 2 2 4" xfId="17"/>
    <cellStyle name="Normal 2 2 4 2" xfId="33"/>
    <cellStyle name="Normal 2 2 4 3" xfId="43"/>
    <cellStyle name="Normal 2 2 5" xfId="24"/>
    <cellStyle name="Normal 2 2 6" xfId="21"/>
    <cellStyle name="Normal 2 3" xfId="10"/>
    <cellStyle name="Normal 2 3 2" xfId="26"/>
    <cellStyle name="Normal 2 3 3" xfId="36"/>
    <cellStyle name="Normal 2 4" xfId="12"/>
    <cellStyle name="Normal 2 4 2" xfId="29"/>
    <cellStyle name="Normal 2 4 3" xfId="39"/>
    <cellStyle name="Normal 2 5" xfId="16"/>
    <cellStyle name="Normal 2 5 2" xfId="32"/>
    <cellStyle name="Normal 2 5 3" xfId="42"/>
    <cellStyle name="Normal 2 6" xfId="23"/>
    <cellStyle name="Normal 2 7" xfId="22"/>
    <cellStyle name="Normal 2 8" xfId="49"/>
    <cellStyle name="Normal 2 9" xfId="52"/>
    <cellStyle name="Normal 3" xfId="7"/>
    <cellStyle name="Normal 3 2" xfId="59"/>
    <cellStyle name="Normal 4" xfId="8"/>
    <cellStyle name="Normal 4 2" xfId="55"/>
    <cellStyle name="Normal 5" xfId="9"/>
    <cellStyle name="Normal 5 2" xfId="54"/>
    <cellStyle name="Normal 6" xfId="15"/>
    <cellStyle name="Normal 6 2" xfId="56"/>
    <cellStyle name="Normal 7" xfId="19"/>
    <cellStyle name="Normal 7 2" xfId="35"/>
    <cellStyle name="Normal 7 2 2" xfId="61"/>
    <cellStyle name="Normal 7 3" xfId="45"/>
    <cellStyle name="Normal 7 3 2" xfId="62"/>
    <cellStyle name="Normal 7 4" xfId="60"/>
    <cellStyle name="Normal 8" xfId="46"/>
    <cellStyle name="Normal 9" xfId="47"/>
    <cellStyle name="Normal 9 2" xfId="63"/>
    <cellStyle name="Percent" xfId="57" builtinId="5"/>
    <cellStyle name="Percent 2 2" xfId="6"/>
    <cellStyle name="Percent 2 2 2" xfId="28"/>
    <cellStyle name="Percent 2 2 3" xfId="38"/>
    <cellStyle name="Percent 2 3" xfId="14"/>
    <cellStyle name="Percent 2 3 2" xfId="31"/>
    <cellStyle name="Percent 2 3 3" xfId="41"/>
    <cellStyle name="Percent 2 4" xfId="18"/>
    <cellStyle name="Percent 2 4 2" xfId="34"/>
    <cellStyle name="Percent 2 4 3" xfId="44"/>
    <cellStyle name="Percent 2 5" xfId="25"/>
    <cellStyle name="Percent 2 6" xfId="20"/>
    <cellStyle name="Percent 2 7" xfId="50"/>
    <cellStyle name="Percent 2 8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"/>
  <sheetViews>
    <sheetView tabSelected="1" showOutlineSymbols="0" zoomScale="87" workbookViewId="0"/>
  </sheetViews>
  <sheetFormatPr defaultColWidth="11.140625" defaultRowHeight="15" x14ac:dyDescent="0.2"/>
  <cols>
    <col min="1" max="1" width="7.140625" style="248" customWidth="1"/>
    <col min="2" max="8" width="11.140625" style="248"/>
    <col min="9" max="9" width="9.85546875" style="248" customWidth="1"/>
    <col min="10" max="10" width="2.140625" style="248" customWidth="1"/>
    <col min="11" max="11" width="0.28515625" style="248" customWidth="1"/>
    <col min="12" max="16384" width="11.140625" style="248"/>
  </cols>
  <sheetData>
    <row r="2" spans="2:12" ht="15.75" thickBot="1" x14ac:dyDescent="0.25"/>
    <row r="3" spans="2:12" x14ac:dyDescent="0.2">
      <c r="B3" s="249"/>
      <c r="C3" s="250"/>
      <c r="D3" s="250"/>
      <c r="E3" s="250"/>
      <c r="F3" s="250"/>
      <c r="G3" s="250"/>
      <c r="H3" s="250"/>
      <c r="I3" s="250"/>
      <c r="J3" s="251"/>
      <c r="K3" s="252"/>
      <c r="L3" s="252"/>
    </row>
    <row r="4" spans="2:12" x14ac:dyDescent="0.2">
      <c r="B4" s="253"/>
      <c r="C4" s="252"/>
      <c r="D4" s="252"/>
      <c r="E4" s="252"/>
      <c r="F4" s="252"/>
      <c r="G4" s="252"/>
      <c r="H4" s="252"/>
      <c r="I4" s="252"/>
      <c r="J4" s="254"/>
      <c r="K4" s="252"/>
      <c r="L4" s="252"/>
    </row>
    <row r="5" spans="2:12" x14ac:dyDescent="0.2">
      <c r="B5" s="255"/>
      <c r="C5" s="256"/>
      <c r="D5" s="256"/>
      <c r="E5" s="256"/>
      <c r="F5" s="256"/>
      <c r="G5" s="256"/>
      <c r="H5" s="256"/>
      <c r="I5" s="256"/>
      <c r="J5" s="254"/>
      <c r="K5" s="252"/>
      <c r="L5" s="252"/>
    </row>
    <row r="6" spans="2:12" ht="18" x14ac:dyDescent="0.25">
      <c r="B6" s="255"/>
      <c r="C6" s="257"/>
      <c r="D6" s="258"/>
      <c r="E6" s="258"/>
      <c r="F6" s="258"/>
      <c r="G6" s="258"/>
      <c r="H6" s="258"/>
      <c r="I6" s="258"/>
      <c r="J6" s="254"/>
      <c r="K6" s="252"/>
      <c r="L6" s="252"/>
    </row>
    <row r="7" spans="2:12" ht="30" x14ac:dyDescent="0.4">
      <c r="B7" s="259"/>
      <c r="C7" s="257"/>
      <c r="D7" s="258"/>
      <c r="E7" s="258"/>
      <c r="F7" s="258"/>
      <c r="G7" s="258"/>
      <c r="H7" s="258"/>
      <c r="I7" s="258"/>
      <c r="J7" s="254"/>
      <c r="K7" s="252"/>
      <c r="L7" s="252"/>
    </row>
    <row r="8" spans="2:12" ht="30" x14ac:dyDescent="0.4">
      <c r="B8" s="259" t="s">
        <v>0</v>
      </c>
      <c r="C8" s="257"/>
      <c r="D8" s="258"/>
      <c r="E8" s="258"/>
      <c r="F8" s="258"/>
      <c r="G8" s="258"/>
      <c r="H8" s="258"/>
      <c r="I8" s="258"/>
      <c r="J8" s="254"/>
      <c r="K8" s="252"/>
      <c r="L8" s="252"/>
    </row>
    <row r="9" spans="2:12" ht="18" x14ac:dyDescent="0.25">
      <c r="B9" s="260"/>
      <c r="C9" s="257"/>
      <c r="D9" s="258"/>
      <c r="E9" s="258"/>
      <c r="F9" s="258"/>
      <c r="G9" s="258"/>
      <c r="H9" s="258"/>
      <c r="I9" s="258"/>
      <c r="J9" s="254"/>
      <c r="K9" s="252"/>
      <c r="L9" s="252"/>
    </row>
    <row r="10" spans="2:12" ht="18.75" thickBot="1" x14ac:dyDescent="0.3">
      <c r="B10" s="261"/>
      <c r="C10" s="262"/>
      <c r="D10" s="263"/>
      <c r="E10" s="263"/>
      <c r="F10" s="263"/>
      <c r="G10" s="263"/>
      <c r="H10" s="263"/>
      <c r="I10" s="263"/>
      <c r="J10" s="264"/>
      <c r="K10" s="252"/>
      <c r="L10" s="252"/>
    </row>
    <row r="11" spans="2:12" ht="18" x14ac:dyDescent="0.25">
      <c r="B11" s="265"/>
      <c r="C11" s="265"/>
      <c r="D11" s="266"/>
      <c r="E11" s="266"/>
      <c r="F11" s="266"/>
      <c r="G11" s="266"/>
      <c r="H11" s="266"/>
      <c r="I11" s="267"/>
      <c r="J11" s="252"/>
      <c r="K11" s="252"/>
      <c r="L11" s="252"/>
    </row>
    <row r="12" spans="2:12" ht="18.75" thickBot="1" x14ac:dyDescent="0.3">
      <c r="B12" s="265"/>
      <c r="C12" s="265"/>
      <c r="D12" s="266"/>
      <c r="E12" s="266"/>
      <c r="F12" s="266"/>
      <c r="G12" s="266"/>
      <c r="H12" s="266"/>
      <c r="I12" s="266"/>
    </row>
    <row r="13" spans="2:12" x14ac:dyDescent="0.2">
      <c r="B13" s="268"/>
      <c r="C13" s="269"/>
      <c r="D13" s="269"/>
      <c r="E13" s="269"/>
      <c r="F13" s="269"/>
      <c r="G13" s="269"/>
      <c r="H13" s="269"/>
      <c r="I13" s="269"/>
      <c r="J13" s="251"/>
    </row>
    <row r="14" spans="2:12" x14ac:dyDescent="0.2">
      <c r="B14" s="255"/>
      <c r="C14" s="256"/>
      <c r="D14" s="256"/>
      <c r="E14" s="256"/>
      <c r="F14" s="256"/>
      <c r="G14" s="256"/>
      <c r="H14" s="256"/>
      <c r="I14" s="256"/>
      <c r="J14" s="254"/>
    </row>
    <row r="15" spans="2:12" x14ac:dyDescent="0.2">
      <c r="B15" s="255"/>
      <c r="C15" s="256"/>
      <c r="D15" s="256"/>
      <c r="E15" s="256"/>
      <c r="F15" s="256"/>
      <c r="G15" s="256"/>
      <c r="H15" s="256"/>
      <c r="I15" s="256"/>
      <c r="J15" s="254"/>
    </row>
    <row r="16" spans="2:12" x14ac:dyDescent="0.2">
      <c r="B16" s="255"/>
      <c r="C16" s="256"/>
      <c r="D16" s="256"/>
      <c r="E16" s="256"/>
      <c r="F16" s="256"/>
      <c r="G16" s="256"/>
      <c r="H16" s="256"/>
      <c r="I16" s="256"/>
      <c r="J16" s="254"/>
    </row>
    <row r="17" spans="1:10" x14ac:dyDescent="0.2">
      <c r="B17" s="255"/>
      <c r="C17" s="256"/>
      <c r="D17" s="256"/>
      <c r="E17" s="256"/>
      <c r="F17" s="256"/>
      <c r="G17" s="256"/>
      <c r="H17" s="256"/>
      <c r="I17" s="256"/>
      <c r="J17" s="254"/>
    </row>
    <row r="18" spans="1:10" ht="30" x14ac:dyDescent="0.4">
      <c r="A18" s="266"/>
      <c r="B18" s="259" t="s">
        <v>175</v>
      </c>
      <c r="C18" s="258"/>
      <c r="D18" s="258"/>
      <c r="E18" s="258"/>
      <c r="F18" s="258"/>
      <c r="G18" s="258"/>
      <c r="H18" s="258"/>
      <c r="I18" s="258"/>
      <c r="J18" s="254"/>
    </row>
    <row r="19" spans="1:10" ht="30" x14ac:dyDescent="0.4">
      <c r="A19" s="266"/>
      <c r="B19" s="259"/>
      <c r="C19" s="258"/>
      <c r="D19" s="258"/>
      <c r="E19" s="258"/>
      <c r="F19" s="258"/>
      <c r="G19" s="258"/>
      <c r="H19" s="258"/>
      <c r="I19" s="258"/>
      <c r="J19" s="254"/>
    </row>
    <row r="20" spans="1:10" ht="30" x14ac:dyDescent="0.4">
      <c r="A20" s="266"/>
      <c r="B20" s="259" t="s">
        <v>219</v>
      </c>
      <c r="C20" s="258"/>
      <c r="D20" s="258"/>
      <c r="E20" s="258"/>
      <c r="F20" s="258"/>
      <c r="G20" s="258"/>
      <c r="H20" s="258"/>
      <c r="I20" s="258"/>
      <c r="J20" s="254"/>
    </row>
    <row r="21" spans="1:10" ht="30" x14ac:dyDescent="0.4">
      <c r="A21" s="266"/>
      <c r="B21" s="259"/>
      <c r="C21" s="258"/>
      <c r="D21" s="258"/>
      <c r="E21" s="258"/>
      <c r="F21" s="258"/>
      <c r="G21" s="258"/>
      <c r="H21" s="258"/>
      <c r="I21" s="258"/>
      <c r="J21" s="254"/>
    </row>
    <row r="22" spans="1:10" ht="30" x14ac:dyDescent="0.4">
      <c r="A22" s="266"/>
      <c r="B22" s="259" t="s">
        <v>220</v>
      </c>
      <c r="C22" s="258"/>
      <c r="D22" s="258"/>
      <c r="E22" s="258"/>
      <c r="F22" s="258"/>
      <c r="G22" s="258"/>
      <c r="H22" s="258"/>
      <c r="I22" s="258"/>
      <c r="J22" s="254"/>
    </row>
    <row r="23" spans="1:10" ht="30" x14ac:dyDescent="0.4">
      <c r="A23" s="266"/>
      <c r="B23" s="259"/>
      <c r="C23" s="258"/>
      <c r="D23" s="258"/>
      <c r="E23" s="258"/>
      <c r="F23" s="258"/>
      <c r="G23" s="258"/>
      <c r="H23" s="258"/>
      <c r="I23" s="258"/>
      <c r="J23" s="254"/>
    </row>
    <row r="24" spans="1:10" ht="30" x14ac:dyDescent="0.4">
      <c r="A24" s="266"/>
      <c r="B24" s="259" t="s">
        <v>221</v>
      </c>
      <c r="C24" s="258"/>
      <c r="D24" s="258"/>
      <c r="E24" s="258"/>
      <c r="F24" s="258"/>
      <c r="G24" s="258"/>
      <c r="H24" s="258"/>
      <c r="I24" s="258"/>
      <c r="J24" s="254"/>
    </row>
    <row r="25" spans="1:10" ht="30" x14ac:dyDescent="0.4">
      <c r="A25" s="266"/>
      <c r="B25" s="259"/>
      <c r="C25" s="258"/>
      <c r="D25" s="258"/>
      <c r="E25" s="258"/>
      <c r="F25" s="258"/>
      <c r="G25" s="258"/>
      <c r="H25" s="258"/>
      <c r="I25" s="258"/>
      <c r="J25" s="254"/>
    </row>
    <row r="26" spans="1:10" ht="20.25" x14ac:dyDescent="0.3">
      <c r="A26" s="266"/>
      <c r="B26" s="270" t="s">
        <v>222</v>
      </c>
      <c r="C26" s="258"/>
      <c r="D26" s="258"/>
      <c r="E26" s="258"/>
      <c r="F26" s="258"/>
      <c r="G26" s="258"/>
      <c r="H26" s="258"/>
      <c r="I26" s="258"/>
      <c r="J26" s="254"/>
    </row>
    <row r="27" spans="1:10" ht="30" x14ac:dyDescent="0.4">
      <c r="A27" s="266"/>
      <c r="B27" s="259"/>
      <c r="C27" s="258"/>
      <c r="D27" s="258"/>
      <c r="E27" s="258"/>
      <c r="F27" s="258"/>
      <c r="G27" s="258"/>
      <c r="H27" s="258"/>
      <c r="I27" s="258"/>
      <c r="J27" s="254"/>
    </row>
    <row r="28" spans="1:10" x14ac:dyDescent="0.2">
      <c r="A28" s="266"/>
      <c r="B28" s="271"/>
      <c r="C28" s="258"/>
      <c r="D28" s="258"/>
      <c r="E28" s="258"/>
      <c r="F28" s="258"/>
      <c r="G28" s="258"/>
      <c r="H28" s="258"/>
      <c r="I28" s="258"/>
      <c r="J28" s="254"/>
    </row>
    <row r="29" spans="1:10" x14ac:dyDescent="0.2">
      <c r="A29" s="266"/>
      <c r="B29" s="271"/>
      <c r="C29" s="258"/>
      <c r="D29" s="258"/>
      <c r="E29" s="258"/>
      <c r="F29" s="258"/>
      <c r="G29" s="258"/>
      <c r="H29" s="258"/>
      <c r="I29" s="258"/>
      <c r="J29" s="254"/>
    </row>
    <row r="30" spans="1:10" x14ac:dyDescent="0.2">
      <c r="A30" s="266"/>
      <c r="B30" s="272"/>
      <c r="C30" s="267"/>
      <c r="D30" s="267"/>
      <c r="E30" s="267"/>
      <c r="F30" s="267"/>
      <c r="G30" s="267"/>
      <c r="H30" s="267"/>
      <c r="I30" s="267"/>
      <c r="J30" s="254"/>
    </row>
    <row r="31" spans="1:10" ht="15.75" thickBot="1" x14ac:dyDescent="0.25">
      <c r="A31" s="266"/>
      <c r="B31" s="273"/>
      <c r="C31" s="274"/>
      <c r="D31" s="274"/>
      <c r="E31" s="274"/>
      <c r="F31" s="274"/>
      <c r="G31" s="274"/>
      <c r="H31" s="274"/>
      <c r="I31" s="274"/>
      <c r="J31" s="264"/>
    </row>
    <row r="32" spans="1:10" ht="15.75" thickBot="1" x14ac:dyDescent="0.25">
      <c r="A32" s="266"/>
      <c r="B32" s="275"/>
      <c r="C32" s="275"/>
      <c r="D32" s="275"/>
      <c r="E32" s="275"/>
      <c r="F32" s="275"/>
      <c r="G32" s="275"/>
      <c r="H32" s="275"/>
      <c r="I32" s="275"/>
    </row>
    <row r="33" spans="1:10" x14ac:dyDescent="0.2">
      <c r="A33" s="266"/>
      <c r="B33" s="276"/>
      <c r="C33" s="277"/>
      <c r="D33" s="277"/>
      <c r="E33" s="277"/>
      <c r="F33" s="277"/>
      <c r="G33" s="277"/>
      <c r="H33" s="277"/>
      <c r="I33" s="277"/>
      <c r="J33" s="251"/>
    </row>
    <row r="34" spans="1:10" ht="22.5" x14ac:dyDescent="0.3">
      <c r="A34" s="266"/>
      <c r="B34" s="278" t="s">
        <v>223</v>
      </c>
      <c r="C34" s="257"/>
      <c r="D34" s="258"/>
      <c r="E34" s="258"/>
      <c r="F34" s="258"/>
      <c r="G34" s="258"/>
      <c r="H34" s="258"/>
      <c r="I34" s="258"/>
      <c r="J34" s="254"/>
    </row>
    <row r="35" spans="1:10" ht="22.5" x14ac:dyDescent="0.3">
      <c r="A35" s="266"/>
      <c r="B35" s="279">
        <v>42975</v>
      </c>
      <c r="C35" s="257"/>
      <c r="D35" s="258"/>
      <c r="E35" s="258"/>
      <c r="F35" s="258"/>
      <c r="G35" s="258"/>
      <c r="H35" s="258"/>
      <c r="I35" s="258"/>
      <c r="J35" s="254"/>
    </row>
    <row r="36" spans="1:10" ht="18.75" thickBot="1" x14ac:dyDescent="0.3">
      <c r="A36" s="266"/>
      <c r="B36" s="261"/>
      <c r="C36" s="262"/>
      <c r="D36" s="263"/>
      <c r="E36" s="263"/>
      <c r="F36" s="263"/>
      <c r="G36" s="263"/>
      <c r="H36" s="263"/>
      <c r="I36" s="263"/>
      <c r="J36" s="264"/>
    </row>
    <row r="37" spans="1:10" ht="18" x14ac:dyDescent="0.25">
      <c r="A37" s="266"/>
      <c r="B37" s="280"/>
      <c r="C37" s="280"/>
      <c r="D37" s="275"/>
      <c r="E37" s="275"/>
      <c r="F37" s="275"/>
      <c r="G37" s="275"/>
      <c r="H37" s="275"/>
      <c r="I37" s="275"/>
    </row>
    <row r="38" spans="1:10" ht="18" x14ac:dyDescent="0.25">
      <c r="B38" s="281"/>
      <c r="C38" s="281"/>
    </row>
    <row r="39" spans="1:10" ht="18" x14ac:dyDescent="0.25">
      <c r="B39" s="281"/>
      <c r="C39" s="281"/>
    </row>
    <row r="40" spans="1:10" ht="18" x14ac:dyDescent="0.25">
      <c r="B40" s="281"/>
      <c r="C40" s="281"/>
    </row>
    <row r="41" spans="1:10" ht="18" x14ac:dyDescent="0.25">
      <c r="B41" s="281"/>
      <c r="C41" s="281"/>
    </row>
  </sheetData>
  <pageMargins left="0.5" right="0.25" top="0.75" bottom="0.75" header="0.5" footer="0.5"/>
  <pageSetup scale="90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Normal="100" workbookViewId="0">
      <selection activeCell="B1" sqref="B1:G1"/>
    </sheetView>
  </sheetViews>
  <sheetFormatPr defaultRowHeight="15" x14ac:dyDescent="0.25"/>
  <cols>
    <col min="1" max="1" width="5.5703125" customWidth="1"/>
    <col min="2" max="2" width="40.42578125" customWidth="1"/>
    <col min="3" max="3" width="15.5703125" style="84" customWidth="1"/>
    <col min="4" max="4" width="2" style="84" customWidth="1"/>
    <col min="5" max="5" width="14.5703125" style="84" customWidth="1"/>
    <col min="6" max="6" width="2.7109375" style="84" customWidth="1"/>
    <col min="7" max="7" width="14" style="84" customWidth="1"/>
  </cols>
  <sheetData>
    <row r="1" spans="2:10" x14ac:dyDescent="0.25">
      <c r="B1" s="282" t="s">
        <v>0</v>
      </c>
      <c r="C1" s="282"/>
      <c r="D1" s="282"/>
      <c r="E1" s="282"/>
      <c r="F1" s="282"/>
      <c r="G1" s="282"/>
      <c r="H1" s="5"/>
    </row>
    <row r="2" spans="2:10" x14ac:dyDescent="0.25">
      <c r="B2" s="282" t="s">
        <v>44</v>
      </c>
      <c r="C2" s="282"/>
      <c r="D2" s="282"/>
      <c r="E2" s="282"/>
      <c r="F2" s="282"/>
      <c r="G2" s="282"/>
      <c r="H2" s="5"/>
    </row>
    <row r="3" spans="2:10" x14ac:dyDescent="0.25">
      <c r="B3" s="288" t="s">
        <v>210</v>
      </c>
      <c r="C3" s="288"/>
      <c r="D3" s="288"/>
      <c r="E3" s="288"/>
      <c r="F3" s="288"/>
      <c r="G3" s="288"/>
      <c r="H3" s="5"/>
    </row>
    <row r="4" spans="2:10" x14ac:dyDescent="0.25">
      <c r="B4" s="23"/>
      <c r="C4" s="23"/>
      <c r="D4" s="23"/>
      <c r="E4" s="23"/>
      <c r="F4" s="13"/>
      <c r="G4" s="22"/>
      <c r="H4" s="5"/>
      <c r="I4" s="84"/>
    </row>
    <row r="5" spans="2:10" x14ac:dyDescent="0.25">
      <c r="B5" s="8"/>
      <c r="C5" s="8"/>
      <c r="D5" s="8"/>
      <c r="E5" s="8"/>
      <c r="F5" s="6"/>
      <c r="G5" s="238"/>
      <c r="H5" s="5"/>
      <c r="I5" s="84"/>
    </row>
    <row r="6" spans="2:10" x14ac:dyDescent="0.25">
      <c r="B6" s="9"/>
      <c r="C6" s="159"/>
      <c r="D6" s="5"/>
      <c r="E6" s="160"/>
      <c r="F6" s="161"/>
      <c r="G6" s="7"/>
      <c r="H6" s="5"/>
      <c r="I6" s="84"/>
    </row>
    <row r="7" spans="2:10" x14ac:dyDescent="0.25">
      <c r="B7" s="9"/>
      <c r="C7" s="160" t="s">
        <v>45</v>
      </c>
      <c r="D7" s="161"/>
      <c r="E7" s="160" t="s">
        <v>17</v>
      </c>
      <c r="F7" s="156"/>
      <c r="G7" s="160" t="s">
        <v>48</v>
      </c>
      <c r="H7" s="5"/>
    </row>
    <row r="8" spans="2:10" x14ac:dyDescent="0.25">
      <c r="B8" s="5"/>
      <c r="C8" s="162" t="s">
        <v>46</v>
      </c>
      <c r="D8" s="163"/>
      <c r="E8" s="162" t="s">
        <v>46</v>
      </c>
      <c r="F8" s="156"/>
      <c r="G8" s="162" t="s">
        <v>46</v>
      </c>
      <c r="H8" s="5"/>
    </row>
    <row r="9" spans="2:10" x14ac:dyDescent="0.25">
      <c r="B9" s="2" t="s">
        <v>5</v>
      </c>
      <c r="C9" s="7"/>
      <c r="D9" s="6"/>
      <c r="E9" s="7"/>
      <c r="F9" s="156"/>
      <c r="G9" s="7"/>
      <c r="H9" s="5"/>
    </row>
    <row r="10" spans="2:10" x14ac:dyDescent="0.25">
      <c r="B10" s="14" t="s">
        <v>41</v>
      </c>
      <c r="C10" s="27">
        <f>+'GF Rev'!H8+'GF Rev'!H9+'GF Rev'!H10</f>
        <v>372557814</v>
      </c>
      <c r="D10" s="27"/>
      <c r="E10" s="27">
        <v>0</v>
      </c>
      <c r="F10" s="157"/>
      <c r="G10" s="27">
        <v>130058891</v>
      </c>
      <c r="H10" s="5"/>
      <c r="J10" s="167"/>
    </row>
    <row r="11" spans="2:10" x14ac:dyDescent="0.25">
      <c r="B11" s="14" t="s">
        <v>42</v>
      </c>
      <c r="C11" s="26">
        <f>+'GF Rev'!H24-'comb funds by func'!C10</f>
        <v>13449551</v>
      </c>
      <c r="D11" s="7"/>
      <c r="E11" s="26">
        <v>11697381</v>
      </c>
      <c r="F11" s="156"/>
      <c r="G11" s="26">
        <v>250000</v>
      </c>
      <c r="H11" s="5"/>
      <c r="J11" s="167"/>
    </row>
    <row r="12" spans="2:10" x14ac:dyDescent="0.25">
      <c r="B12" s="14" t="s">
        <v>43</v>
      </c>
      <c r="C12" s="24">
        <f>+'GF Rev'!H33</f>
        <v>65215492</v>
      </c>
      <c r="D12" s="15"/>
      <c r="E12" s="24">
        <v>109688</v>
      </c>
      <c r="F12" s="156"/>
      <c r="G12" s="24">
        <v>1603758</v>
      </c>
      <c r="H12" s="5"/>
      <c r="J12" s="167"/>
    </row>
    <row r="13" spans="2:10" x14ac:dyDescent="0.25">
      <c r="B13" s="14" t="s">
        <v>47</v>
      </c>
      <c r="C13" s="15">
        <f>+'GF Rev'!H42</f>
        <v>5698900</v>
      </c>
      <c r="D13" s="15"/>
      <c r="E13" s="15">
        <v>12480281</v>
      </c>
      <c r="F13" s="156"/>
      <c r="G13" s="24">
        <v>490334</v>
      </c>
      <c r="H13" s="5"/>
      <c r="J13" s="167"/>
    </row>
    <row r="14" spans="2:10" x14ac:dyDescent="0.25">
      <c r="B14" s="3" t="s">
        <v>6</v>
      </c>
      <c r="C14" s="17">
        <f>SUM(C10:C13)</f>
        <v>456921757</v>
      </c>
      <c r="D14" s="13"/>
      <c r="E14" s="17">
        <f>SUM(E10:E13)</f>
        <v>24287350</v>
      </c>
      <c r="F14" s="156"/>
      <c r="G14" s="17">
        <f>SUM(G10:G13)</f>
        <v>132402983</v>
      </c>
      <c r="H14" s="5"/>
      <c r="J14" s="167"/>
    </row>
    <row r="15" spans="2:10" x14ac:dyDescent="0.25">
      <c r="B15" s="5"/>
      <c r="C15" s="7"/>
      <c r="D15" s="6"/>
      <c r="E15" s="7"/>
      <c r="F15" s="156"/>
      <c r="G15" s="7"/>
      <c r="H15" s="5"/>
      <c r="J15" s="167"/>
    </row>
    <row r="16" spans="2:10" x14ac:dyDescent="0.25">
      <c r="B16" s="2" t="s">
        <v>7</v>
      </c>
      <c r="C16" s="7"/>
      <c r="D16" s="6"/>
      <c r="E16" s="7"/>
      <c r="F16" s="156"/>
      <c r="G16" s="7"/>
      <c r="H16" s="5"/>
      <c r="J16" s="167"/>
    </row>
    <row r="17" spans="1:10" x14ac:dyDescent="0.25">
      <c r="A17">
        <v>11</v>
      </c>
      <c r="B17" s="16" t="s">
        <v>8</v>
      </c>
      <c r="C17" s="179">
        <f>+'GF by funct'!F16</f>
        <v>287774415.27999997</v>
      </c>
      <c r="D17" s="26"/>
      <c r="E17" s="26">
        <v>0</v>
      </c>
      <c r="F17" s="26"/>
      <c r="G17" s="26">
        <v>0</v>
      </c>
      <c r="H17" s="5"/>
      <c r="J17" s="167"/>
    </row>
    <row r="18" spans="1:10" x14ac:dyDescent="0.25">
      <c r="A18">
        <v>12</v>
      </c>
      <c r="B18" s="16" t="s">
        <v>9</v>
      </c>
      <c r="C18" s="179">
        <f>+'GF by funct'!F17</f>
        <v>6441033</v>
      </c>
      <c r="D18" s="26"/>
      <c r="E18" s="26">
        <v>0</v>
      </c>
      <c r="F18" s="26"/>
      <c r="G18" s="26">
        <v>0</v>
      </c>
      <c r="H18" s="5"/>
      <c r="J18" s="167"/>
    </row>
    <row r="19" spans="1:10" x14ac:dyDescent="0.25">
      <c r="A19">
        <v>13</v>
      </c>
      <c r="B19" s="16" t="s">
        <v>10</v>
      </c>
      <c r="C19" s="179">
        <f>+'GF by funct'!F18</f>
        <v>2699563</v>
      </c>
      <c r="D19" s="26"/>
      <c r="E19" s="26">
        <v>0</v>
      </c>
      <c r="F19" s="26"/>
      <c r="G19" s="26">
        <v>0</v>
      </c>
      <c r="H19" s="5"/>
      <c r="J19" s="167"/>
    </row>
    <row r="20" spans="1:10" x14ac:dyDescent="0.25">
      <c r="A20">
        <v>21</v>
      </c>
      <c r="B20" s="16" t="s">
        <v>11</v>
      </c>
      <c r="C20" s="179">
        <f>+'GF by funct'!F19</f>
        <v>9900368</v>
      </c>
      <c r="D20" s="26"/>
      <c r="E20" s="26">
        <v>0</v>
      </c>
      <c r="F20" s="26"/>
      <c r="G20" s="26">
        <v>0</v>
      </c>
      <c r="H20" s="5"/>
      <c r="J20" s="167"/>
    </row>
    <row r="21" spans="1:10" x14ac:dyDescent="0.25">
      <c r="A21">
        <v>23</v>
      </c>
      <c r="B21" s="16" t="s">
        <v>12</v>
      </c>
      <c r="C21" s="179">
        <f>+'GF by funct'!F20</f>
        <v>30351269</v>
      </c>
      <c r="D21" s="26"/>
      <c r="E21" s="26">
        <v>0</v>
      </c>
      <c r="F21" s="26"/>
      <c r="G21" s="26">
        <v>0</v>
      </c>
      <c r="H21" s="5"/>
      <c r="J21" s="167"/>
    </row>
    <row r="22" spans="1:10" x14ac:dyDescent="0.25">
      <c r="A22">
        <v>31</v>
      </c>
      <c r="B22" s="16" t="s">
        <v>13</v>
      </c>
      <c r="C22" s="179">
        <f>+'GF by funct'!F21</f>
        <v>20751429</v>
      </c>
      <c r="D22" s="26"/>
      <c r="E22" s="26">
        <v>0</v>
      </c>
      <c r="F22" s="26"/>
      <c r="G22" s="26">
        <v>0</v>
      </c>
      <c r="H22" s="5"/>
      <c r="J22" s="167"/>
    </row>
    <row r="23" spans="1:10" x14ac:dyDescent="0.25">
      <c r="A23">
        <v>32</v>
      </c>
      <c r="B23" s="16" t="s">
        <v>14</v>
      </c>
      <c r="C23" s="179">
        <f>+'GF by funct'!F22</f>
        <v>101519</v>
      </c>
      <c r="D23" s="26"/>
      <c r="E23" s="26">
        <v>0</v>
      </c>
      <c r="F23" s="26"/>
      <c r="G23" s="26">
        <v>0</v>
      </c>
      <c r="H23" s="5"/>
      <c r="J23" s="167"/>
    </row>
    <row r="24" spans="1:10" x14ac:dyDescent="0.25">
      <c r="A24">
        <v>33</v>
      </c>
      <c r="B24" s="16" t="s">
        <v>15</v>
      </c>
      <c r="C24" s="179">
        <f>+'GF by funct'!F23</f>
        <v>5431299</v>
      </c>
      <c r="D24" s="26"/>
      <c r="E24" s="26">
        <v>0</v>
      </c>
      <c r="F24" s="26"/>
      <c r="G24" s="26">
        <v>0</v>
      </c>
      <c r="H24" s="5"/>
      <c r="J24" s="167"/>
    </row>
    <row r="25" spans="1:10" x14ac:dyDescent="0.25">
      <c r="A25">
        <v>34</v>
      </c>
      <c r="B25" s="16" t="s">
        <v>16</v>
      </c>
      <c r="C25" s="179">
        <f>+'GF by funct'!F24</f>
        <v>15183118</v>
      </c>
      <c r="D25" s="26"/>
      <c r="E25" s="26">
        <v>0</v>
      </c>
      <c r="F25" s="26"/>
      <c r="G25" s="26">
        <v>0</v>
      </c>
      <c r="H25" s="5"/>
      <c r="J25" s="167"/>
    </row>
    <row r="26" spans="1:10" x14ac:dyDescent="0.25">
      <c r="A26">
        <v>35</v>
      </c>
      <c r="B26" s="16" t="s">
        <v>17</v>
      </c>
      <c r="C26" s="179">
        <f>+'GF by funct'!F25</f>
        <v>34134</v>
      </c>
      <c r="D26" s="26"/>
      <c r="E26" s="26">
        <v>22839478</v>
      </c>
      <c r="F26" s="26"/>
      <c r="G26" s="26">
        <v>0</v>
      </c>
      <c r="H26" s="5"/>
      <c r="J26" s="167"/>
    </row>
    <row r="27" spans="1:10" x14ac:dyDescent="0.25">
      <c r="A27">
        <v>36</v>
      </c>
      <c r="B27" s="16" t="s">
        <v>18</v>
      </c>
      <c r="C27" s="179">
        <f>+'GF by funct'!F26</f>
        <v>10229027</v>
      </c>
      <c r="D27" s="26"/>
      <c r="E27" s="26">
        <v>0</v>
      </c>
      <c r="F27" s="26"/>
      <c r="G27" s="26">
        <v>0</v>
      </c>
      <c r="H27" s="5"/>
      <c r="J27" s="167"/>
    </row>
    <row r="28" spans="1:10" x14ac:dyDescent="0.25">
      <c r="A28">
        <v>41</v>
      </c>
      <c r="B28" s="16" t="s">
        <v>19</v>
      </c>
      <c r="C28" s="179">
        <f>+'GF by funct'!F27</f>
        <v>10739698</v>
      </c>
      <c r="D28" s="26"/>
      <c r="E28" s="26">
        <v>0</v>
      </c>
      <c r="F28" s="26"/>
      <c r="G28" s="26">
        <v>0</v>
      </c>
      <c r="H28" s="5"/>
      <c r="J28" s="167"/>
    </row>
    <row r="29" spans="1:10" x14ac:dyDescent="0.25">
      <c r="A29">
        <v>51</v>
      </c>
      <c r="B29" s="16" t="s">
        <v>20</v>
      </c>
      <c r="C29" s="179">
        <f>+'GF by funct'!F28</f>
        <v>41085833</v>
      </c>
      <c r="D29" s="26"/>
      <c r="E29" s="26">
        <v>1053031</v>
      </c>
      <c r="F29" s="26"/>
      <c r="G29" s="26">
        <v>0</v>
      </c>
      <c r="H29" s="5"/>
      <c r="J29" s="167"/>
    </row>
    <row r="30" spans="1:10" x14ac:dyDescent="0.25">
      <c r="A30">
        <v>52</v>
      </c>
      <c r="B30" s="16" t="s">
        <v>21</v>
      </c>
      <c r="C30" s="179">
        <f>+'GF by funct'!F29</f>
        <v>2001809</v>
      </c>
      <c r="D30" s="26"/>
      <c r="E30" s="26">
        <v>0</v>
      </c>
      <c r="F30" s="26"/>
      <c r="G30" s="26">
        <v>0</v>
      </c>
      <c r="H30" s="5"/>
      <c r="J30" s="167"/>
    </row>
    <row r="31" spans="1:10" x14ac:dyDescent="0.25">
      <c r="A31">
        <v>53</v>
      </c>
      <c r="B31" s="16" t="s">
        <v>22</v>
      </c>
      <c r="C31" s="179">
        <f>+'GF by funct'!F30</f>
        <v>11392189</v>
      </c>
      <c r="D31" s="26"/>
      <c r="E31" s="26">
        <v>0</v>
      </c>
      <c r="F31" s="26"/>
      <c r="G31" s="26">
        <v>0</v>
      </c>
      <c r="H31" s="5"/>
      <c r="J31" s="167"/>
    </row>
    <row r="32" spans="1:10" x14ac:dyDescent="0.25">
      <c r="A32">
        <v>61</v>
      </c>
      <c r="B32" s="16" t="s">
        <v>23</v>
      </c>
      <c r="C32" s="179">
        <f>+'GF by funct'!F31</f>
        <v>7942293</v>
      </c>
      <c r="D32" s="26"/>
      <c r="E32" s="26">
        <v>0</v>
      </c>
      <c r="F32" s="26"/>
      <c r="G32" s="26">
        <v>0</v>
      </c>
      <c r="H32" s="5"/>
      <c r="J32" s="167"/>
    </row>
    <row r="33" spans="1:10" x14ac:dyDescent="0.25">
      <c r="A33">
        <v>71</v>
      </c>
      <c r="B33" s="16" t="s">
        <v>24</v>
      </c>
      <c r="C33" s="179">
        <f>+'GF by funct'!F32</f>
        <v>658426</v>
      </c>
      <c r="D33" s="26"/>
      <c r="E33" s="26">
        <v>0</v>
      </c>
      <c r="F33" s="26"/>
      <c r="G33" s="26">
        <v>131375817</v>
      </c>
      <c r="H33" s="5"/>
      <c r="I33" s="1"/>
      <c r="J33" s="167"/>
    </row>
    <row r="34" spans="1:10" x14ac:dyDescent="0.25">
      <c r="A34">
        <v>81</v>
      </c>
      <c r="B34" s="16" t="s">
        <v>25</v>
      </c>
      <c r="C34" s="179">
        <f>+'GF by funct'!F33</f>
        <v>0</v>
      </c>
      <c r="D34" s="26"/>
      <c r="E34" s="26">
        <v>0</v>
      </c>
      <c r="F34" s="26"/>
      <c r="G34" s="26">
        <v>0</v>
      </c>
      <c r="H34" s="5"/>
      <c r="I34" s="1"/>
      <c r="J34" s="167"/>
    </row>
    <row r="35" spans="1:10" x14ac:dyDescent="0.25">
      <c r="A35">
        <v>93</v>
      </c>
      <c r="B35" s="16" t="s">
        <v>26</v>
      </c>
      <c r="C35" s="179">
        <f>+'GF by funct'!F34</f>
        <v>210000</v>
      </c>
      <c r="D35" s="26"/>
      <c r="E35" s="26">
        <v>0</v>
      </c>
      <c r="F35" s="26"/>
      <c r="G35" s="26">
        <v>0</v>
      </c>
      <c r="H35" s="5"/>
      <c r="I35" s="1"/>
      <c r="J35" s="167"/>
    </row>
    <row r="36" spans="1:10" x14ac:dyDescent="0.25">
      <c r="A36">
        <v>95</v>
      </c>
      <c r="B36" s="16" t="s">
        <v>27</v>
      </c>
      <c r="C36" s="179">
        <f>+'GF by funct'!F35</f>
        <v>200000</v>
      </c>
      <c r="D36" s="26"/>
      <c r="E36" s="26">
        <v>0</v>
      </c>
      <c r="F36" s="26"/>
      <c r="G36" s="26">
        <v>0</v>
      </c>
      <c r="H36" s="5"/>
      <c r="I36" s="1"/>
      <c r="J36" s="167"/>
    </row>
    <row r="37" spans="1:10" x14ac:dyDescent="0.25">
      <c r="A37">
        <v>99</v>
      </c>
      <c r="B37" s="16" t="s">
        <v>28</v>
      </c>
      <c r="C37" s="179">
        <f>+'GF by funct'!F36</f>
        <v>2949800</v>
      </c>
      <c r="D37" s="26"/>
      <c r="E37" s="26">
        <v>0</v>
      </c>
      <c r="F37" s="26"/>
      <c r="G37" s="26">
        <v>0</v>
      </c>
      <c r="H37" s="5"/>
      <c r="I37" s="25"/>
      <c r="J37" s="167"/>
    </row>
    <row r="38" spans="1:10" x14ac:dyDescent="0.25">
      <c r="B38" s="2" t="s">
        <v>29</v>
      </c>
      <c r="C38" s="28">
        <f>SUM(C17:C37)</f>
        <v>466077222.27999997</v>
      </c>
      <c r="D38" s="29"/>
      <c r="E38" s="28">
        <f>SUM(E17:E37)</f>
        <v>23892509</v>
      </c>
      <c r="F38" s="164"/>
      <c r="G38" s="28">
        <f>SUM(G17:G37)</f>
        <v>131375817</v>
      </c>
      <c r="H38" s="5"/>
      <c r="I38" s="1"/>
    </row>
    <row r="39" spans="1:10" x14ac:dyDescent="0.25">
      <c r="B39" s="5"/>
      <c r="C39" s="7"/>
      <c r="D39" s="6"/>
      <c r="E39" s="7"/>
      <c r="F39" s="156"/>
      <c r="G39" s="7"/>
      <c r="H39" s="5"/>
      <c r="I39" s="1"/>
    </row>
    <row r="40" spans="1:10" hidden="1" x14ac:dyDescent="0.25">
      <c r="B40" s="5"/>
      <c r="C40" s="7"/>
      <c r="D40" s="6"/>
      <c r="E40" s="7"/>
      <c r="F40" s="156"/>
      <c r="G40" s="7"/>
      <c r="H40" s="5"/>
      <c r="I40" s="1"/>
    </row>
    <row r="41" spans="1:10" hidden="1" x14ac:dyDescent="0.25">
      <c r="B41" s="2" t="s">
        <v>30</v>
      </c>
      <c r="C41" s="7"/>
      <c r="D41" s="6"/>
      <c r="E41" s="7"/>
      <c r="F41" s="156"/>
      <c r="G41" s="7"/>
      <c r="H41" s="5"/>
      <c r="I41" s="1"/>
    </row>
    <row r="42" spans="1:10" hidden="1" x14ac:dyDescent="0.25">
      <c r="B42" s="2" t="s">
        <v>31</v>
      </c>
      <c r="C42" s="30">
        <f>+C14-C38</f>
        <v>-9155465.2799999714</v>
      </c>
      <c r="D42" s="6"/>
      <c r="E42" s="30">
        <f>+E14-E38</f>
        <v>394841</v>
      </c>
      <c r="F42" s="156"/>
      <c r="G42" s="30">
        <f>+G14-G38</f>
        <v>1027166</v>
      </c>
      <c r="H42" s="5"/>
      <c r="I42" s="1"/>
    </row>
    <row r="43" spans="1:10" hidden="1" x14ac:dyDescent="0.25">
      <c r="B43" s="2"/>
      <c r="C43" s="7"/>
      <c r="D43" s="6"/>
      <c r="E43" s="7"/>
      <c r="F43" s="156"/>
      <c r="G43" s="7"/>
      <c r="H43" s="5"/>
      <c r="I43" s="1"/>
    </row>
    <row r="44" spans="1:10" hidden="1" x14ac:dyDescent="0.25">
      <c r="B44" s="2" t="s">
        <v>32</v>
      </c>
      <c r="C44" s="7"/>
      <c r="D44" s="6"/>
      <c r="E44" s="7"/>
      <c r="F44" s="156"/>
      <c r="G44" s="7"/>
      <c r="H44" s="5"/>
      <c r="I44" s="1"/>
    </row>
    <row r="45" spans="1:10" hidden="1" x14ac:dyDescent="0.25">
      <c r="B45" s="5" t="s">
        <v>33</v>
      </c>
      <c r="C45" s="15">
        <v>0</v>
      </c>
      <c r="D45" s="6"/>
      <c r="E45" s="15">
        <v>0</v>
      </c>
      <c r="F45" s="156"/>
      <c r="G45" s="15"/>
      <c r="H45" s="5"/>
      <c r="I45" s="1"/>
    </row>
    <row r="46" spans="1:10" hidden="1" x14ac:dyDescent="0.25">
      <c r="B46" s="5" t="s">
        <v>34</v>
      </c>
      <c r="C46" s="15">
        <v>0</v>
      </c>
      <c r="D46" s="15"/>
      <c r="E46" s="15">
        <v>0</v>
      </c>
      <c r="F46" s="156"/>
      <c r="G46" s="15"/>
      <c r="H46" s="5"/>
      <c r="I46" s="1"/>
    </row>
    <row r="47" spans="1:10" hidden="1" x14ac:dyDescent="0.25">
      <c r="B47" s="19" t="s">
        <v>35</v>
      </c>
      <c r="C47" s="20">
        <f>+C45-C46</f>
        <v>0</v>
      </c>
      <c r="D47" s="13"/>
      <c r="E47" s="20">
        <f>+E45-E46</f>
        <v>0</v>
      </c>
      <c r="F47" s="156"/>
      <c r="G47" s="20">
        <f>+G45-G46</f>
        <v>0</v>
      </c>
      <c r="H47" s="5"/>
      <c r="I47" s="1"/>
    </row>
    <row r="48" spans="1:10" hidden="1" x14ac:dyDescent="0.25">
      <c r="B48" s="5"/>
      <c r="C48" s="7"/>
      <c r="D48" s="6"/>
      <c r="E48" s="7"/>
      <c r="F48" s="156"/>
      <c r="G48" s="7"/>
      <c r="H48" s="5"/>
    </row>
    <row r="49" spans="2:9" x14ac:dyDescent="0.25">
      <c r="C49" s="7"/>
      <c r="D49" s="6"/>
      <c r="E49" s="7"/>
      <c r="F49" s="156"/>
      <c r="G49" s="7"/>
      <c r="H49" s="5"/>
    </row>
    <row r="50" spans="2:9" x14ac:dyDescent="0.25">
      <c r="B50" s="2" t="s">
        <v>176</v>
      </c>
      <c r="C50" s="7"/>
      <c r="D50" s="6"/>
      <c r="E50" s="7"/>
      <c r="F50" s="156"/>
      <c r="G50" s="7"/>
      <c r="H50" s="5"/>
    </row>
    <row r="51" spans="2:9" x14ac:dyDescent="0.25">
      <c r="B51" s="2" t="s">
        <v>178</v>
      </c>
      <c r="C51" s="192">
        <f>+C42+C47</f>
        <v>-9155465.2799999714</v>
      </c>
      <c r="D51" s="18"/>
      <c r="E51" s="192">
        <f>+E42+E47</f>
        <v>394841</v>
      </c>
      <c r="F51" s="156"/>
      <c r="G51" s="192">
        <f>+G42+G47</f>
        <v>1027166</v>
      </c>
      <c r="H51" s="5"/>
    </row>
    <row r="52" spans="2:9" s="166" customFormat="1" x14ac:dyDescent="0.25">
      <c r="B52" s="2"/>
      <c r="C52" s="18"/>
      <c r="D52" s="18"/>
      <c r="E52" s="18"/>
      <c r="F52" s="156"/>
      <c r="G52" s="18"/>
      <c r="H52" s="5"/>
    </row>
    <row r="53" spans="2:9" s="166" customFormat="1" x14ac:dyDescent="0.25">
      <c r="B53" s="2" t="s">
        <v>32</v>
      </c>
      <c r="C53" s="7"/>
      <c r="D53" s="6"/>
      <c r="E53" s="7"/>
      <c r="F53" s="156"/>
      <c r="G53" s="7"/>
      <c r="H53" s="5"/>
      <c r="I53" s="1"/>
    </row>
    <row r="54" spans="2:9" s="166" customFormat="1" x14ac:dyDescent="0.25">
      <c r="B54" s="5" t="s">
        <v>33</v>
      </c>
      <c r="C54" s="179">
        <f>+'GF by funct'!F44</f>
        <v>0</v>
      </c>
      <c r="D54" s="124">
        <f>+'GF Rev'!E58+'GF Rev'!E59</f>
        <v>0</v>
      </c>
      <c r="E54" s="15">
        <f>+'FS Fund'!I42</f>
        <v>0</v>
      </c>
      <c r="F54" s="124"/>
      <c r="G54" s="26">
        <f>+'DS Fund'!I35</f>
        <v>0</v>
      </c>
      <c r="H54" s="5"/>
      <c r="I54" s="1"/>
    </row>
    <row r="55" spans="2:9" s="166" customFormat="1" x14ac:dyDescent="0.25">
      <c r="B55" s="5" t="s">
        <v>34</v>
      </c>
      <c r="C55" s="179">
        <f>+'GF by funct'!F45</f>
        <v>-500000</v>
      </c>
      <c r="D55" s="124">
        <v>0</v>
      </c>
      <c r="E55" s="15">
        <v>0</v>
      </c>
      <c r="F55" s="124"/>
      <c r="G55" s="26">
        <f>+'DS Fund'!I36</f>
        <v>0</v>
      </c>
      <c r="H55" s="5"/>
      <c r="I55" s="1"/>
    </row>
    <row r="56" spans="2:9" s="166" customFormat="1" x14ac:dyDescent="0.25">
      <c r="B56" s="19" t="s">
        <v>35</v>
      </c>
      <c r="C56" s="20">
        <f>SUM(C54:C55)</f>
        <v>-500000</v>
      </c>
      <c r="D56" s="124">
        <f t="shared" ref="D56" si="0">+D54-D55</f>
        <v>0</v>
      </c>
      <c r="E56" s="20">
        <f>+E54-E55</f>
        <v>0</v>
      </c>
      <c r="F56" s="124"/>
      <c r="G56" s="20">
        <f>+G54-G55</f>
        <v>0</v>
      </c>
      <c r="H56" s="5"/>
      <c r="I56" s="1"/>
    </row>
    <row r="57" spans="2:9" s="166" customFormat="1" x14ac:dyDescent="0.25">
      <c r="B57" s="19"/>
      <c r="C57" s="124"/>
      <c r="D57" s="124"/>
      <c r="E57" s="124"/>
      <c r="F57" s="124"/>
      <c r="G57" s="124"/>
      <c r="H57" s="5"/>
      <c r="I57" s="1"/>
    </row>
    <row r="58" spans="2:9" s="166" customFormat="1" ht="15.75" thickBot="1" x14ac:dyDescent="0.3">
      <c r="B58" s="2" t="s">
        <v>181</v>
      </c>
      <c r="C58" s="194">
        <f>+C51+C56</f>
        <v>-9655465.2799999714</v>
      </c>
      <c r="D58" s="124"/>
      <c r="E58" s="194">
        <f>+E51+E56</f>
        <v>394841</v>
      </c>
      <c r="F58" s="124"/>
      <c r="G58" s="194">
        <f>+G51+G56</f>
        <v>1027166</v>
      </c>
      <c r="H58" s="5"/>
      <c r="I58" s="1"/>
    </row>
    <row r="59" spans="2:9" ht="15.75" thickTop="1" x14ac:dyDescent="0.25">
      <c r="B59" s="5"/>
      <c r="C59" s="15"/>
      <c r="D59" s="15"/>
      <c r="E59" s="15"/>
      <c r="F59" s="156"/>
      <c r="G59" s="15"/>
      <c r="H59" s="5"/>
    </row>
    <row r="60" spans="2:9" hidden="1" x14ac:dyDescent="0.25">
      <c r="B60" s="14" t="s">
        <v>39</v>
      </c>
      <c r="C60" s="86" t="e">
        <f>+'GF by funct'!#REF!</f>
        <v>#REF!</v>
      </c>
      <c r="D60" s="18"/>
      <c r="E60" s="15">
        <f>+'FS Fund'!I50</f>
        <v>2575140.1400000043</v>
      </c>
      <c r="F60" s="156"/>
      <c r="G60" s="15">
        <f>+'DS Fund'!I43</f>
        <v>29912270</v>
      </c>
      <c r="H60" s="5"/>
    </row>
    <row r="61" spans="2:9" ht="15.75" hidden="1" thickBot="1" x14ac:dyDescent="0.3">
      <c r="B61" s="2" t="s">
        <v>40</v>
      </c>
      <c r="C61" s="144" t="e">
        <f>SUM(C58:C60)</f>
        <v>#REF!</v>
      </c>
      <c r="D61" s="21"/>
      <c r="E61" s="144">
        <f>SUM(E58:E60)</f>
        <v>2969981.1400000043</v>
      </c>
      <c r="F61" s="156"/>
      <c r="G61" s="144">
        <f>SUM(G58:G60)</f>
        <v>30939436</v>
      </c>
      <c r="H61" s="5"/>
    </row>
    <row r="62" spans="2:9" ht="15.75" hidden="1" thickTop="1" x14ac:dyDescent="0.25">
      <c r="B62" s="5"/>
      <c r="C62" s="7"/>
      <c r="D62" s="6"/>
      <c r="E62" s="7"/>
      <c r="F62" s="156"/>
      <c r="G62" s="7"/>
      <c r="H62" s="5"/>
    </row>
    <row r="63" spans="2:9" x14ac:dyDescent="0.25">
      <c r="G63" s="4"/>
    </row>
    <row r="64" spans="2:9" x14ac:dyDescent="0.25">
      <c r="G64" s="4"/>
    </row>
    <row r="65" spans="1:7" x14ac:dyDescent="0.25">
      <c r="A65" s="283" t="s">
        <v>206</v>
      </c>
      <c r="B65" s="283"/>
      <c r="C65" s="283"/>
      <c r="D65" s="283"/>
      <c r="E65" s="283"/>
      <c r="F65" s="283"/>
      <c r="G65" s="283"/>
    </row>
    <row r="66" spans="1:7" x14ac:dyDescent="0.25">
      <c r="G66" s="4"/>
    </row>
    <row r="67" spans="1:7" x14ac:dyDescent="0.25">
      <c r="G67" s="4"/>
    </row>
    <row r="68" spans="1:7" x14ac:dyDescent="0.25">
      <c r="G68" s="4"/>
    </row>
  </sheetData>
  <mergeCells count="4">
    <mergeCell ref="B1:G1"/>
    <mergeCell ref="B2:G2"/>
    <mergeCell ref="B3:G3"/>
    <mergeCell ref="A65:G6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"/>
  <sheetViews>
    <sheetView showOutlineSymbols="0" zoomScale="87" workbookViewId="0">
      <selection activeCell="D22" sqref="D22"/>
    </sheetView>
  </sheetViews>
  <sheetFormatPr defaultColWidth="11.140625" defaultRowHeight="15" x14ac:dyDescent="0.2"/>
  <cols>
    <col min="1" max="1" width="7.140625" style="248" customWidth="1"/>
    <col min="2" max="8" width="11.140625" style="248"/>
    <col min="9" max="9" width="9.85546875" style="248" customWidth="1"/>
    <col min="10" max="10" width="2.140625" style="248" customWidth="1"/>
    <col min="11" max="11" width="0.28515625" style="248" customWidth="1"/>
    <col min="12" max="16384" width="11.140625" style="248"/>
  </cols>
  <sheetData>
    <row r="2" spans="1:12" ht="15.75" thickBot="1" x14ac:dyDescent="0.25"/>
    <row r="3" spans="1:12" x14ac:dyDescent="0.2">
      <c r="B3" s="249"/>
      <c r="C3" s="250"/>
      <c r="D3" s="250"/>
      <c r="E3" s="250"/>
      <c r="F3" s="250"/>
      <c r="G3" s="250"/>
      <c r="H3" s="250"/>
      <c r="I3" s="250"/>
      <c r="J3" s="251"/>
      <c r="K3" s="252"/>
      <c r="L3" s="252"/>
    </row>
    <row r="4" spans="1:12" x14ac:dyDescent="0.2">
      <c r="B4" s="253"/>
      <c r="C4" s="252"/>
      <c r="D4" s="252"/>
      <c r="E4" s="252"/>
      <c r="F4" s="252"/>
      <c r="G4" s="252"/>
      <c r="H4" s="252"/>
      <c r="I4" s="252"/>
      <c r="J4" s="254"/>
      <c r="K4" s="252"/>
      <c r="L4" s="252"/>
    </row>
    <row r="5" spans="1:12" x14ac:dyDescent="0.2">
      <c r="B5" s="255"/>
      <c r="C5" s="256"/>
      <c r="D5" s="256"/>
      <c r="E5" s="256"/>
      <c r="F5" s="256"/>
      <c r="G5" s="256"/>
      <c r="H5" s="256"/>
      <c r="I5" s="256"/>
      <c r="J5" s="254"/>
      <c r="K5" s="252"/>
      <c r="L5" s="252"/>
    </row>
    <row r="6" spans="1:12" ht="18" x14ac:dyDescent="0.25">
      <c r="B6" s="255"/>
      <c r="C6" s="257"/>
      <c r="D6" s="258"/>
      <c r="E6" s="258"/>
      <c r="F6" s="258"/>
      <c r="G6" s="258"/>
      <c r="H6" s="258"/>
      <c r="I6" s="258"/>
      <c r="J6" s="254"/>
      <c r="K6" s="252"/>
      <c r="L6" s="252"/>
    </row>
    <row r="7" spans="1:12" ht="30" x14ac:dyDescent="0.4">
      <c r="B7" s="259"/>
      <c r="C7" s="257"/>
      <c r="D7" s="258"/>
      <c r="E7" s="258"/>
      <c r="F7" s="258"/>
      <c r="G7" s="258"/>
      <c r="H7" s="258"/>
      <c r="I7" s="258"/>
      <c r="J7" s="254"/>
      <c r="K7" s="252"/>
      <c r="L7" s="252"/>
    </row>
    <row r="8" spans="1:12" ht="30" x14ac:dyDescent="0.4">
      <c r="B8" s="259"/>
      <c r="C8" s="257"/>
      <c r="D8" s="258"/>
      <c r="E8" s="258"/>
      <c r="F8" s="258"/>
      <c r="G8" s="258"/>
      <c r="H8" s="258"/>
      <c r="I8" s="258"/>
      <c r="J8" s="254"/>
      <c r="K8" s="252"/>
      <c r="L8" s="252"/>
    </row>
    <row r="9" spans="1:12" ht="18" x14ac:dyDescent="0.25">
      <c r="B9" s="260"/>
      <c r="C9" s="257"/>
      <c r="D9" s="258"/>
      <c r="E9" s="258"/>
      <c r="F9" s="258"/>
      <c r="G9" s="258"/>
      <c r="H9" s="258"/>
      <c r="I9" s="258"/>
      <c r="J9" s="254"/>
      <c r="K9" s="252"/>
      <c r="L9" s="252"/>
    </row>
    <row r="10" spans="1:12" ht="18.75" thickBot="1" x14ac:dyDescent="0.3">
      <c r="B10" s="261"/>
      <c r="C10" s="262"/>
      <c r="D10" s="263"/>
      <c r="E10" s="263"/>
      <c r="F10" s="263"/>
      <c r="G10" s="263"/>
      <c r="H10" s="263"/>
      <c r="I10" s="263"/>
      <c r="J10" s="264"/>
      <c r="K10" s="252"/>
      <c r="L10" s="252"/>
    </row>
    <row r="11" spans="1:12" ht="18" x14ac:dyDescent="0.25">
      <c r="B11" s="265"/>
      <c r="C11" s="265"/>
      <c r="D11" s="266"/>
      <c r="E11" s="266"/>
      <c r="F11" s="266"/>
      <c r="G11" s="266"/>
      <c r="H11" s="266"/>
      <c r="I11" s="267"/>
      <c r="J11" s="252"/>
      <c r="K11" s="252"/>
      <c r="L11" s="252"/>
    </row>
    <row r="12" spans="1:12" ht="18.75" thickBot="1" x14ac:dyDescent="0.3">
      <c r="B12" s="265"/>
      <c r="C12" s="265"/>
      <c r="D12" s="266"/>
      <c r="E12" s="266"/>
      <c r="F12" s="266"/>
      <c r="G12" s="266"/>
      <c r="H12" s="266"/>
      <c r="I12" s="266"/>
    </row>
    <row r="13" spans="1:12" x14ac:dyDescent="0.2">
      <c r="B13" s="268"/>
      <c r="C13" s="269"/>
      <c r="D13" s="269"/>
      <c r="E13" s="269"/>
      <c r="F13" s="269"/>
      <c r="G13" s="269"/>
      <c r="H13" s="269"/>
      <c r="I13" s="269"/>
      <c r="J13" s="251"/>
    </row>
    <row r="14" spans="1:12" x14ac:dyDescent="0.2">
      <c r="B14" s="255"/>
      <c r="C14" s="256"/>
      <c r="D14" s="256"/>
      <c r="E14" s="256"/>
      <c r="F14" s="256"/>
      <c r="G14" s="256"/>
      <c r="H14" s="256"/>
      <c r="I14" s="256"/>
      <c r="J14" s="254"/>
    </row>
    <row r="15" spans="1:12" ht="30" x14ac:dyDescent="0.4">
      <c r="A15" s="266"/>
      <c r="B15" s="259" t="s">
        <v>224</v>
      </c>
      <c r="C15" s="258"/>
      <c r="D15" s="258"/>
      <c r="E15" s="258"/>
      <c r="F15" s="258"/>
      <c r="G15" s="258"/>
      <c r="H15" s="258"/>
      <c r="I15" s="258"/>
      <c r="J15" s="254"/>
    </row>
    <row r="16" spans="1:12" x14ac:dyDescent="0.2">
      <c r="B16" s="255"/>
      <c r="C16" s="256"/>
      <c r="D16" s="256"/>
      <c r="E16" s="256"/>
      <c r="F16" s="256"/>
      <c r="G16" s="256"/>
      <c r="H16" s="256"/>
      <c r="I16" s="256"/>
      <c r="J16" s="254"/>
    </row>
    <row r="17" spans="1:10" x14ac:dyDescent="0.2">
      <c r="B17" s="255"/>
      <c r="C17" s="256"/>
      <c r="D17" s="256"/>
      <c r="E17" s="256"/>
      <c r="F17" s="256"/>
      <c r="G17" s="256"/>
      <c r="H17" s="256"/>
      <c r="I17" s="256"/>
      <c r="J17" s="254"/>
    </row>
    <row r="18" spans="1:10" ht="30" x14ac:dyDescent="0.4">
      <c r="A18" s="266"/>
      <c r="B18" s="259" t="s">
        <v>175</v>
      </c>
      <c r="C18" s="258"/>
      <c r="D18" s="258"/>
      <c r="E18" s="258"/>
      <c r="F18" s="258"/>
      <c r="G18" s="258"/>
      <c r="H18" s="258"/>
      <c r="I18" s="258"/>
      <c r="J18" s="254"/>
    </row>
    <row r="19" spans="1:10" ht="30" x14ac:dyDescent="0.4">
      <c r="A19" s="266"/>
      <c r="B19" s="259"/>
      <c r="C19" s="258"/>
      <c r="D19" s="258"/>
      <c r="E19" s="258"/>
      <c r="F19" s="258"/>
      <c r="G19" s="258"/>
      <c r="H19" s="258"/>
      <c r="I19" s="258"/>
      <c r="J19" s="254"/>
    </row>
    <row r="20" spans="1:10" ht="30" x14ac:dyDescent="0.4">
      <c r="A20" s="266"/>
      <c r="B20" s="259" t="s">
        <v>219</v>
      </c>
      <c r="C20" s="258"/>
      <c r="D20" s="258"/>
      <c r="E20" s="258"/>
      <c r="F20" s="258"/>
      <c r="G20" s="258"/>
      <c r="H20" s="258"/>
      <c r="I20" s="258"/>
      <c r="J20" s="254"/>
    </row>
    <row r="21" spans="1:10" ht="30" x14ac:dyDescent="0.4">
      <c r="A21" s="266"/>
      <c r="B21" s="259"/>
      <c r="C21" s="258"/>
      <c r="D21" s="258"/>
      <c r="E21" s="258"/>
      <c r="F21" s="258"/>
      <c r="G21" s="258"/>
      <c r="H21" s="258"/>
      <c r="I21" s="258"/>
      <c r="J21" s="254"/>
    </row>
    <row r="22" spans="1:10" ht="30" x14ac:dyDescent="0.4">
      <c r="A22" s="266"/>
      <c r="B22" s="259" t="s">
        <v>220</v>
      </c>
      <c r="C22" s="258"/>
      <c r="D22" s="258"/>
      <c r="E22" s="258"/>
      <c r="F22" s="258"/>
      <c r="G22" s="258"/>
      <c r="H22" s="258"/>
      <c r="I22" s="258"/>
      <c r="J22" s="254"/>
    </row>
    <row r="23" spans="1:10" ht="30" x14ac:dyDescent="0.4">
      <c r="A23" s="266"/>
      <c r="B23" s="259"/>
      <c r="C23" s="258"/>
      <c r="D23" s="258"/>
      <c r="E23" s="258"/>
      <c r="F23" s="258"/>
      <c r="G23" s="258"/>
      <c r="H23" s="258"/>
      <c r="I23" s="258"/>
      <c r="J23" s="254"/>
    </row>
    <row r="24" spans="1:10" ht="30" x14ac:dyDescent="0.4">
      <c r="A24" s="266"/>
      <c r="B24" s="259" t="s">
        <v>221</v>
      </c>
      <c r="C24" s="258"/>
      <c r="D24" s="258"/>
      <c r="E24" s="258"/>
      <c r="F24" s="258"/>
      <c r="G24" s="258"/>
      <c r="H24" s="258"/>
      <c r="I24" s="258"/>
      <c r="J24" s="254"/>
    </row>
    <row r="25" spans="1:10" ht="30" x14ac:dyDescent="0.4">
      <c r="A25" s="266"/>
      <c r="B25" s="259"/>
      <c r="C25" s="258"/>
      <c r="D25" s="258"/>
      <c r="E25" s="258"/>
      <c r="F25" s="258"/>
      <c r="G25" s="258"/>
      <c r="H25" s="258"/>
      <c r="I25" s="258"/>
      <c r="J25" s="254"/>
    </row>
    <row r="26" spans="1:10" ht="20.25" x14ac:dyDescent="0.3">
      <c r="A26" s="266"/>
      <c r="B26" s="270" t="s">
        <v>222</v>
      </c>
      <c r="C26" s="258"/>
      <c r="D26" s="258"/>
      <c r="E26" s="258"/>
      <c r="F26" s="258"/>
      <c r="G26" s="258"/>
      <c r="H26" s="258"/>
      <c r="I26" s="258"/>
      <c r="J26" s="254"/>
    </row>
    <row r="27" spans="1:10" ht="30" x14ac:dyDescent="0.4">
      <c r="A27" s="266"/>
      <c r="B27" s="259"/>
      <c r="C27" s="258"/>
      <c r="D27" s="258"/>
      <c r="E27" s="258"/>
      <c r="F27" s="258"/>
      <c r="G27" s="258"/>
      <c r="H27" s="258"/>
      <c r="I27" s="258"/>
      <c r="J27" s="254"/>
    </row>
    <row r="28" spans="1:10" x14ac:dyDescent="0.2">
      <c r="A28" s="266"/>
      <c r="B28" s="271"/>
      <c r="C28" s="258"/>
      <c r="D28" s="258"/>
      <c r="E28" s="258"/>
      <c r="F28" s="258"/>
      <c r="G28" s="258"/>
      <c r="H28" s="258"/>
      <c r="I28" s="258"/>
      <c r="J28" s="254"/>
    </row>
    <row r="29" spans="1:10" x14ac:dyDescent="0.2">
      <c r="A29" s="266"/>
      <c r="B29" s="271"/>
      <c r="C29" s="258"/>
      <c r="D29" s="258"/>
      <c r="E29" s="258"/>
      <c r="F29" s="258"/>
      <c r="G29" s="258"/>
      <c r="H29" s="258"/>
      <c r="I29" s="258"/>
      <c r="J29" s="254"/>
    </row>
    <row r="30" spans="1:10" x14ac:dyDescent="0.2">
      <c r="A30" s="266"/>
      <c r="B30" s="272"/>
      <c r="C30" s="267"/>
      <c r="D30" s="267"/>
      <c r="E30" s="267"/>
      <c r="F30" s="267"/>
      <c r="G30" s="267"/>
      <c r="H30" s="267"/>
      <c r="I30" s="267"/>
      <c r="J30" s="254"/>
    </row>
    <row r="31" spans="1:10" ht="15.75" thickBot="1" x14ac:dyDescent="0.25">
      <c r="A31" s="266"/>
      <c r="B31" s="273"/>
      <c r="C31" s="274"/>
      <c r="D31" s="274"/>
      <c r="E31" s="274"/>
      <c r="F31" s="274"/>
      <c r="G31" s="274"/>
      <c r="H31" s="274"/>
      <c r="I31" s="274"/>
      <c r="J31" s="264"/>
    </row>
    <row r="32" spans="1:10" ht="15.75" thickBot="1" x14ac:dyDescent="0.25">
      <c r="A32" s="266"/>
      <c r="B32" s="275"/>
      <c r="C32" s="275"/>
      <c r="D32" s="275"/>
      <c r="E32" s="275"/>
      <c r="F32" s="275"/>
      <c r="G32" s="275"/>
      <c r="H32" s="275"/>
      <c r="I32" s="275"/>
    </row>
    <row r="33" spans="1:10" x14ac:dyDescent="0.2">
      <c r="A33" s="266"/>
      <c r="B33" s="276"/>
      <c r="C33" s="277"/>
      <c r="D33" s="277"/>
      <c r="E33" s="277"/>
      <c r="F33" s="277"/>
      <c r="G33" s="277"/>
      <c r="H33" s="277"/>
      <c r="I33" s="277"/>
      <c r="J33" s="251"/>
    </row>
    <row r="34" spans="1:10" ht="22.5" x14ac:dyDescent="0.3">
      <c r="A34" s="266"/>
      <c r="B34" s="278"/>
      <c r="C34" s="257"/>
      <c r="D34" s="258"/>
      <c r="E34" s="258"/>
      <c r="F34" s="258"/>
      <c r="G34" s="258"/>
      <c r="H34" s="258"/>
      <c r="I34" s="258"/>
      <c r="J34" s="254"/>
    </row>
    <row r="35" spans="1:10" ht="22.5" x14ac:dyDescent="0.3">
      <c r="A35" s="266"/>
      <c r="B35" s="279"/>
      <c r="C35" s="257"/>
      <c r="D35" s="258"/>
      <c r="E35" s="258"/>
      <c r="F35" s="258"/>
      <c r="G35" s="258"/>
      <c r="H35" s="258"/>
      <c r="I35" s="258"/>
      <c r="J35" s="254"/>
    </row>
    <row r="36" spans="1:10" ht="18.75" thickBot="1" x14ac:dyDescent="0.3">
      <c r="A36" s="266"/>
      <c r="B36" s="261"/>
      <c r="C36" s="262"/>
      <c r="D36" s="263"/>
      <c r="E36" s="263"/>
      <c r="F36" s="263"/>
      <c r="G36" s="263"/>
      <c r="H36" s="263"/>
      <c r="I36" s="263"/>
      <c r="J36" s="264"/>
    </row>
    <row r="37" spans="1:10" ht="18" x14ac:dyDescent="0.25">
      <c r="A37" s="266"/>
      <c r="B37" s="280"/>
      <c r="C37" s="280"/>
      <c r="D37" s="275"/>
      <c r="E37" s="275"/>
      <c r="F37" s="275"/>
      <c r="G37" s="275"/>
      <c r="H37" s="275"/>
      <c r="I37" s="275"/>
    </row>
    <row r="38" spans="1:10" ht="18" x14ac:dyDescent="0.25">
      <c r="B38" s="281"/>
      <c r="C38" s="281"/>
    </row>
    <row r="39" spans="1:10" ht="18" x14ac:dyDescent="0.25">
      <c r="B39" s="281"/>
      <c r="C39" s="281"/>
    </row>
    <row r="40" spans="1:10" ht="18" x14ac:dyDescent="0.25">
      <c r="B40" s="281"/>
      <c r="C40" s="281"/>
    </row>
    <row r="41" spans="1:10" ht="18" x14ac:dyDescent="0.25">
      <c r="B41" s="281"/>
      <c r="C41" s="281"/>
    </row>
  </sheetData>
  <pageMargins left="0.5" right="0.25" top="0.75" bottom="0.75" header="0.5" footer="0.5"/>
  <pageSetup scale="90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B1" sqref="B1:G1"/>
    </sheetView>
  </sheetViews>
  <sheetFormatPr defaultRowHeight="15" x14ac:dyDescent="0.25"/>
  <cols>
    <col min="1" max="1" width="5.5703125" style="166" customWidth="1"/>
    <col min="2" max="2" width="40.42578125" style="166" customWidth="1"/>
    <col min="3" max="3" width="15.5703125" style="84" customWidth="1"/>
    <col min="4" max="4" width="16.85546875" style="84" customWidth="1"/>
    <col min="5" max="5" width="16.140625" style="84" hidden="1" customWidth="1"/>
    <col min="6" max="6" width="16.7109375" style="84" bestFit="1" customWidth="1"/>
    <col min="7" max="7" width="16.7109375" style="166" bestFit="1" customWidth="1"/>
    <col min="8" max="8" width="9.140625" style="166"/>
    <col min="9" max="15" width="0" style="166" hidden="1" customWidth="1"/>
    <col min="16" max="16384" width="9.140625" style="166"/>
  </cols>
  <sheetData>
    <row r="1" spans="1:8" x14ac:dyDescent="0.25">
      <c r="B1" s="282" t="s">
        <v>0</v>
      </c>
      <c r="C1" s="282"/>
      <c r="D1" s="282"/>
      <c r="E1" s="282"/>
      <c r="F1" s="282"/>
      <c r="G1" s="282"/>
      <c r="H1" s="5"/>
    </row>
    <row r="2" spans="1:8" x14ac:dyDescent="0.25">
      <c r="B2" s="282" t="s">
        <v>171</v>
      </c>
      <c r="C2" s="282"/>
      <c r="D2" s="282"/>
      <c r="E2" s="282"/>
      <c r="F2" s="282"/>
      <c r="G2" s="282"/>
      <c r="H2" s="5"/>
    </row>
    <row r="3" spans="1:8" x14ac:dyDescent="0.25">
      <c r="B3" s="23"/>
      <c r="C3" s="23"/>
      <c r="D3" s="23"/>
      <c r="E3" s="204"/>
      <c r="F3" s="13"/>
      <c r="G3" s="123" t="s">
        <v>200</v>
      </c>
      <c r="H3" s="5"/>
    </row>
    <row r="4" spans="1:8" x14ac:dyDescent="0.25">
      <c r="B4" s="8"/>
      <c r="C4" s="231"/>
      <c r="D4" s="231"/>
      <c r="E4" s="231"/>
      <c r="F4" s="231"/>
      <c r="G4" s="160" t="s">
        <v>201</v>
      </c>
      <c r="H4" s="5"/>
    </row>
    <row r="5" spans="1:8" x14ac:dyDescent="0.25">
      <c r="B5" s="9"/>
      <c r="C5" s="160"/>
      <c r="D5" s="160"/>
      <c r="E5" s="160"/>
      <c r="F5" s="160"/>
      <c r="G5" s="160" t="s">
        <v>202</v>
      </c>
      <c r="H5" s="5"/>
    </row>
    <row r="6" spans="1:8" x14ac:dyDescent="0.25">
      <c r="B6" s="9"/>
      <c r="C6" s="160" t="s">
        <v>197</v>
      </c>
      <c r="D6" s="239" t="s">
        <v>175</v>
      </c>
      <c r="E6" s="160" t="s">
        <v>180</v>
      </c>
      <c r="F6" s="3" t="s">
        <v>175</v>
      </c>
      <c r="G6" s="160" t="s">
        <v>193</v>
      </c>
      <c r="H6" s="5"/>
    </row>
    <row r="7" spans="1:8" x14ac:dyDescent="0.25">
      <c r="B7" s="5"/>
      <c r="C7" s="162" t="s">
        <v>1</v>
      </c>
      <c r="D7" s="176" t="s">
        <v>198</v>
      </c>
      <c r="E7" s="162" t="s">
        <v>198</v>
      </c>
      <c r="F7" s="175" t="s">
        <v>199</v>
      </c>
      <c r="G7" s="162" t="s">
        <v>175</v>
      </c>
      <c r="H7" s="5"/>
    </row>
    <row r="8" spans="1:8" x14ac:dyDescent="0.25">
      <c r="B8" s="2" t="s">
        <v>5</v>
      </c>
      <c r="C8" s="7"/>
      <c r="D8" s="6"/>
      <c r="E8" s="7"/>
      <c r="F8" s="156"/>
      <c r="G8" s="7"/>
      <c r="H8" s="5"/>
    </row>
    <row r="9" spans="1:8" x14ac:dyDescent="0.25">
      <c r="B9" s="14" t="s">
        <v>41</v>
      </c>
      <c r="C9" s="208">
        <f>ROUND(SUM('GF Rev'!C8:C10),0)</f>
        <v>305997383</v>
      </c>
      <c r="D9" s="27">
        <f>ROUND(SUM('GF Rev'!E8:E10),0)</f>
        <v>336883842</v>
      </c>
      <c r="E9" s="27">
        <f>+'GF Rev'!G8+'GF Rev'!G9+'GF Rev'!G10</f>
        <v>340106257.41000003</v>
      </c>
      <c r="F9" s="27">
        <f>ROUND(SUM('GF Rev'!H8:H10),0)</f>
        <v>372557814</v>
      </c>
      <c r="G9" s="27">
        <f>+F9-D9</f>
        <v>35673972</v>
      </c>
      <c r="H9" s="5"/>
    </row>
    <row r="10" spans="1:8" x14ac:dyDescent="0.25">
      <c r="B10" s="14" t="s">
        <v>42</v>
      </c>
      <c r="C10" s="179">
        <f>ROUND(SUM('GF Rev'!C11:C23),0)</f>
        <v>10635871</v>
      </c>
      <c r="D10" s="26">
        <f>ROUND(SUM('GF Rev'!E11:E23),0)</f>
        <v>16801496</v>
      </c>
      <c r="E10" s="26">
        <f>+'GF Rev'!G24-'GF by funct'!E9</f>
        <v>10688132.640000045</v>
      </c>
      <c r="F10" s="26">
        <f>ROUND(SUM('GF Rev'!H11:H23),0)</f>
        <v>13449551</v>
      </c>
      <c r="G10" s="26">
        <f>+F10-D10</f>
        <v>-3351945</v>
      </c>
      <c r="H10" s="5"/>
    </row>
    <row r="11" spans="1:8" x14ac:dyDescent="0.25">
      <c r="B11" s="14" t="s">
        <v>43</v>
      </c>
      <c r="C11" s="179">
        <f>ROUND(SUM('GF Rev'!C27:C32),0)</f>
        <v>117970990</v>
      </c>
      <c r="D11" s="15">
        <f>ROUND(SUM('GF Rev'!E27:E32),0)</f>
        <v>91367995</v>
      </c>
      <c r="E11" s="24">
        <f>+'GF Rev'!G33</f>
        <v>68640250.579999998</v>
      </c>
      <c r="F11" s="24">
        <f>ROUND(SUM('GF Rev'!H27:H32),0)</f>
        <v>65215492</v>
      </c>
      <c r="G11" s="26">
        <f t="shared" ref="G11:G12" si="0">+F11-D11</f>
        <v>-26152503</v>
      </c>
      <c r="H11" s="5"/>
    </row>
    <row r="12" spans="1:8" x14ac:dyDescent="0.25">
      <c r="B12" s="14" t="s">
        <v>47</v>
      </c>
      <c r="C12" s="179">
        <f>ROUND(SUM('GF Rev'!C36:C41),0)</f>
        <v>6826030</v>
      </c>
      <c r="D12" s="15">
        <f>SUM('GF Rev'!E36:E41)</f>
        <v>6202700</v>
      </c>
      <c r="E12" s="15">
        <f>+'GF Rev'!G42</f>
        <v>6607038.4800000004</v>
      </c>
      <c r="F12" s="15">
        <f>ROUND(SUM('GF Rev'!H36:H41),0)</f>
        <v>5698900</v>
      </c>
      <c r="G12" s="26">
        <f t="shared" si="0"/>
        <v>-503800</v>
      </c>
      <c r="H12" s="5"/>
    </row>
    <row r="13" spans="1:8" x14ac:dyDescent="0.25">
      <c r="B13" s="3" t="s">
        <v>6</v>
      </c>
      <c r="C13" s="17">
        <f t="shared" ref="C13:D13" si="1">SUM(C9:C12)</f>
        <v>441430274</v>
      </c>
      <c r="D13" s="17">
        <f t="shared" si="1"/>
        <v>451256033</v>
      </c>
      <c r="E13" s="17">
        <f>SUM(E9:E12)</f>
        <v>426041679.11000007</v>
      </c>
      <c r="F13" s="17">
        <f>SUM(F9:F12)</f>
        <v>456921757</v>
      </c>
      <c r="G13" s="17">
        <f>SUM(G9:G12)</f>
        <v>5665724</v>
      </c>
      <c r="H13" s="5"/>
    </row>
    <row r="14" spans="1:8" x14ac:dyDescent="0.25">
      <c r="B14" s="5"/>
      <c r="D14" s="6"/>
      <c r="E14" s="7"/>
      <c r="F14" s="7"/>
      <c r="G14" s="7"/>
      <c r="H14" s="5"/>
    </row>
    <row r="15" spans="1:8" x14ac:dyDescent="0.25">
      <c r="B15" s="2" t="s">
        <v>7</v>
      </c>
      <c r="D15" s="6"/>
      <c r="E15" s="7"/>
      <c r="F15" s="7"/>
      <c r="G15" s="7"/>
      <c r="H15" s="5"/>
    </row>
    <row r="16" spans="1:8" x14ac:dyDescent="0.25">
      <c r="A16" s="166">
        <v>11</v>
      </c>
      <c r="B16" s="16" t="s">
        <v>8</v>
      </c>
      <c r="C16" s="165">
        <v>273010402</v>
      </c>
      <c r="D16" s="179">
        <f>'GF exp by funct by maj obj'!C14</f>
        <v>287726844</v>
      </c>
      <c r="E16" s="26">
        <f>250400383.36+1130569.45+209709.09</f>
        <v>251740661.90000001</v>
      </c>
      <c r="F16" s="179">
        <f>'GF exp by funct by maj obj'!I14</f>
        <v>287774415.27999997</v>
      </c>
      <c r="G16" s="26">
        <f>+F16-D16</f>
        <v>47571.27999997139</v>
      </c>
      <c r="H16" s="5"/>
    </row>
    <row r="17" spans="1:9" x14ac:dyDescent="0.25">
      <c r="A17" s="166">
        <v>12</v>
      </c>
      <c r="B17" s="16" t="s">
        <v>9</v>
      </c>
      <c r="C17" s="165">
        <v>6294498</v>
      </c>
      <c r="D17" s="179">
        <f>'GF exp by funct by maj obj'!C21</f>
        <v>6451782</v>
      </c>
      <c r="E17" s="26">
        <f>5814724.33+25963.26</f>
        <v>5840687.5899999999</v>
      </c>
      <c r="F17" s="179">
        <f>'GF exp by funct by maj obj'!I21</f>
        <v>6441033</v>
      </c>
      <c r="G17" s="26">
        <f t="shared" ref="G17:G36" si="2">+F17-D17</f>
        <v>-10749</v>
      </c>
      <c r="H17" s="5"/>
    </row>
    <row r="18" spans="1:9" x14ac:dyDescent="0.25">
      <c r="A18" s="166">
        <v>13</v>
      </c>
      <c r="B18" s="16" t="s">
        <v>10</v>
      </c>
      <c r="C18" s="165">
        <v>2990389</v>
      </c>
      <c r="D18" s="179">
        <f>'GF exp by funct by maj obj'!C28</f>
        <v>2706334</v>
      </c>
      <c r="E18" s="26">
        <f>1794486.14+44257.66+5953.05</f>
        <v>1844696.8499999999</v>
      </c>
      <c r="F18" s="179">
        <f>'GF exp by funct by maj obj'!I28</f>
        <v>2699563</v>
      </c>
      <c r="G18" s="26">
        <f t="shared" si="2"/>
        <v>-6771</v>
      </c>
      <c r="H18" s="5"/>
    </row>
    <row r="19" spans="1:9" x14ac:dyDescent="0.25">
      <c r="A19" s="166">
        <v>21</v>
      </c>
      <c r="B19" s="16" t="s">
        <v>11</v>
      </c>
      <c r="C19" s="165">
        <v>8508390</v>
      </c>
      <c r="D19" s="179">
        <f>'GF exp by funct by maj obj'!C35</f>
        <v>9435066</v>
      </c>
      <c r="E19" s="26">
        <f>8345619.99+25239.09+9358.83</f>
        <v>8380217.9100000001</v>
      </c>
      <c r="F19" s="179">
        <f>'GF exp by funct by maj obj'!I35</f>
        <v>9900368</v>
      </c>
      <c r="G19" s="26">
        <f t="shared" si="2"/>
        <v>465302</v>
      </c>
      <c r="H19" s="5"/>
    </row>
    <row r="20" spans="1:9" x14ac:dyDescent="0.25">
      <c r="A20" s="166">
        <v>23</v>
      </c>
      <c r="B20" s="16" t="s">
        <v>12</v>
      </c>
      <c r="C20" s="165">
        <v>29312659</v>
      </c>
      <c r="D20" s="179">
        <f>'GF exp by funct by maj obj'!C42</f>
        <v>29769475</v>
      </c>
      <c r="E20" s="26">
        <f>27280216.66+37261.82+2596.94</f>
        <v>27320075.420000002</v>
      </c>
      <c r="F20" s="179">
        <f>'GF exp by funct by maj obj'!I42</f>
        <v>30351269</v>
      </c>
      <c r="G20" s="26">
        <f t="shared" si="2"/>
        <v>581794</v>
      </c>
      <c r="H20" s="5"/>
    </row>
    <row r="21" spans="1:9" x14ac:dyDescent="0.25">
      <c r="A21" s="166">
        <v>31</v>
      </c>
      <c r="B21" s="16" t="s">
        <v>13</v>
      </c>
      <c r="C21" s="165">
        <v>19396154</v>
      </c>
      <c r="D21" s="179">
        <f>'GF exp by funct by maj obj'!C49</f>
        <v>20061016</v>
      </c>
      <c r="E21" s="26">
        <f>17672092.61+27695.72+2957.4</f>
        <v>17702745.729999997</v>
      </c>
      <c r="F21" s="179">
        <f>'GF exp by funct by maj obj'!I49</f>
        <v>20751429</v>
      </c>
      <c r="G21" s="26">
        <f t="shared" si="2"/>
        <v>690413</v>
      </c>
      <c r="H21" s="5"/>
    </row>
    <row r="22" spans="1:9" x14ac:dyDescent="0.25">
      <c r="A22" s="166">
        <v>32</v>
      </c>
      <c r="B22" s="16" t="s">
        <v>14</v>
      </c>
      <c r="C22" s="165">
        <v>103140</v>
      </c>
      <c r="D22" s="179">
        <f>'GF exp by funct by maj obj'!C62</f>
        <v>102384</v>
      </c>
      <c r="E22" s="26">
        <f>882531.74+4177.2</f>
        <v>886708.94</v>
      </c>
      <c r="F22" s="179">
        <f>'GF exp by funct by maj obj'!I62</f>
        <v>101519</v>
      </c>
      <c r="G22" s="26">
        <f t="shared" si="2"/>
        <v>-865</v>
      </c>
      <c r="H22" s="5"/>
    </row>
    <row r="23" spans="1:9" x14ac:dyDescent="0.25">
      <c r="A23" s="166">
        <v>33</v>
      </c>
      <c r="B23" s="16" t="s">
        <v>15</v>
      </c>
      <c r="C23" s="165">
        <v>5083910</v>
      </c>
      <c r="D23" s="179">
        <f>'GF exp by funct by maj obj'!C69</f>
        <v>5291755</v>
      </c>
      <c r="E23" s="26">
        <f>4740397.6+6234.27+7.08</f>
        <v>4746638.9499999993</v>
      </c>
      <c r="F23" s="179">
        <f>'GF exp by funct by maj obj'!I69</f>
        <v>5431299</v>
      </c>
      <c r="G23" s="26">
        <f t="shared" si="2"/>
        <v>139544</v>
      </c>
      <c r="H23" s="5"/>
    </row>
    <row r="24" spans="1:9" x14ac:dyDescent="0.25">
      <c r="A24" s="166">
        <v>34</v>
      </c>
      <c r="B24" s="16" t="s">
        <v>16</v>
      </c>
      <c r="C24" s="165">
        <v>14162770</v>
      </c>
      <c r="D24" s="179">
        <f>'GF exp by funct by maj obj'!C74</f>
        <v>15055205</v>
      </c>
      <c r="E24" s="26">
        <f>13071453.53+4042.13</f>
        <v>13075495.66</v>
      </c>
      <c r="F24" s="179">
        <f>'GF exp by funct by maj obj'!I74</f>
        <v>15183118</v>
      </c>
      <c r="G24" s="26">
        <f t="shared" si="2"/>
        <v>127913</v>
      </c>
      <c r="H24" s="5"/>
    </row>
    <row r="25" spans="1:9" x14ac:dyDescent="0.25">
      <c r="A25" s="166">
        <v>35</v>
      </c>
      <c r="B25" s="16" t="s">
        <v>17</v>
      </c>
      <c r="C25" s="165">
        <v>4188</v>
      </c>
      <c r="D25" s="179">
        <f>'GF exp by funct by maj obj'!C82</f>
        <v>0</v>
      </c>
      <c r="E25" s="26">
        <f>58137.95</f>
        <v>58137.95</v>
      </c>
      <c r="F25" s="179">
        <f>'GF exp by funct by maj obj'!I82</f>
        <v>34134</v>
      </c>
      <c r="G25" s="26">
        <f t="shared" si="2"/>
        <v>34134</v>
      </c>
      <c r="H25" s="5"/>
    </row>
    <row r="26" spans="1:9" x14ac:dyDescent="0.25">
      <c r="A26" s="166">
        <v>36</v>
      </c>
      <c r="B26" s="16" t="s">
        <v>18</v>
      </c>
      <c r="C26" s="165">
        <v>10101436</v>
      </c>
      <c r="D26" s="179">
        <f>'GF exp by funct by maj obj'!C90</f>
        <v>10196647</v>
      </c>
      <c r="E26" s="26">
        <f>9625460.54+297750.93+3086.26</f>
        <v>9926297.7299999986</v>
      </c>
      <c r="F26" s="179">
        <f>'GF exp by funct by maj obj'!I90</f>
        <v>10229027</v>
      </c>
      <c r="G26" s="26">
        <f t="shared" si="2"/>
        <v>32380</v>
      </c>
      <c r="H26" s="5"/>
    </row>
    <row r="27" spans="1:9" x14ac:dyDescent="0.25">
      <c r="A27" s="166">
        <v>41</v>
      </c>
      <c r="B27" s="16" t="s">
        <v>19</v>
      </c>
      <c r="C27" s="165">
        <v>9246319</v>
      </c>
      <c r="D27" s="179">
        <f>'GF exp by funct by maj obj'!C97</f>
        <v>10548469</v>
      </c>
      <c r="E27" s="26">
        <f>8618600.5+139318.83+5504.88</f>
        <v>8763424.2100000009</v>
      </c>
      <c r="F27" s="179">
        <f>'GF exp by funct by maj obj'!I97</f>
        <v>10739698</v>
      </c>
      <c r="G27" s="26">
        <f t="shared" si="2"/>
        <v>191229</v>
      </c>
      <c r="H27" s="5"/>
    </row>
    <row r="28" spans="1:9" x14ac:dyDescent="0.25">
      <c r="A28" s="166">
        <v>51</v>
      </c>
      <c r="B28" s="16" t="s">
        <v>20</v>
      </c>
      <c r="C28" s="165">
        <v>36752856</v>
      </c>
      <c r="D28" s="179">
        <f>'GF exp by funct by maj obj'!C105</f>
        <v>39366003</v>
      </c>
      <c r="E28" s="26">
        <f>29174837.07+2425224.96+2294125.51</f>
        <v>33894187.539999999</v>
      </c>
      <c r="F28" s="179">
        <f>'GF exp by funct by maj obj'!I105</f>
        <v>41085833</v>
      </c>
      <c r="G28" s="26">
        <f t="shared" si="2"/>
        <v>1719830</v>
      </c>
      <c r="H28" s="5"/>
    </row>
    <row r="29" spans="1:9" x14ac:dyDescent="0.25">
      <c r="A29" s="166">
        <v>52</v>
      </c>
      <c r="B29" s="16" t="s">
        <v>21</v>
      </c>
      <c r="C29" s="165">
        <v>1927559</v>
      </c>
      <c r="D29" s="179">
        <f>'GF exp by funct by maj obj'!C121</f>
        <v>2018816</v>
      </c>
      <c r="E29" s="26">
        <f>1841394.27+178803.49</f>
        <v>2020197.76</v>
      </c>
      <c r="F29" s="179">
        <f>'GF exp by funct by maj obj'!I121</f>
        <v>2001809</v>
      </c>
      <c r="G29" s="26">
        <f t="shared" si="2"/>
        <v>-17007</v>
      </c>
      <c r="H29" s="5"/>
    </row>
    <row r="30" spans="1:9" x14ac:dyDescent="0.25">
      <c r="A30" s="166">
        <v>53</v>
      </c>
      <c r="B30" s="16" t="s">
        <v>22</v>
      </c>
      <c r="C30" s="165">
        <v>9912375</v>
      </c>
      <c r="D30" s="179">
        <f>'GF exp by funct by maj obj'!C129</f>
        <v>10408279</v>
      </c>
      <c r="E30" s="26">
        <f>8788849.2+210912.26+117966.87</f>
        <v>9117728.3299999982</v>
      </c>
      <c r="F30" s="179">
        <f>'GF exp by funct by maj obj'!I129</f>
        <v>11392189</v>
      </c>
      <c r="G30" s="26">
        <f t="shared" si="2"/>
        <v>983910</v>
      </c>
      <c r="H30" s="5"/>
    </row>
    <row r="31" spans="1:9" x14ac:dyDescent="0.25">
      <c r="A31" s="166">
        <v>61</v>
      </c>
      <c r="B31" s="16" t="s">
        <v>23</v>
      </c>
      <c r="C31" s="165">
        <v>5889510</v>
      </c>
      <c r="D31" s="179">
        <f>'GF exp by funct by maj obj'!C136</f>
        <v>6687599</v>
      </c>
      <c r="E31" s="26">
        <f>5386295.69+19884.79+95.47</f>
        <v>5406275.9500000002</v>
      </c>
      <c r="F31" s="179">
        <f>'GF exp by funct by maj obj'!I136</f>
        <v>7942293</v>
      </c>
      <c r="G31" s="26">
        <f t="shared" si="2"/>
        <v>1254694</v>
      </c>
      <c r="H31" s="5"/>
    </row>
    <row r="32" spans="1:9" x14ac:dyDescent="0.25">
      <c r="A32" s="166">
        <v>71</v>
      </c>
      <c r="B32" s="16" t="s">
        <v>24</v>
      </c>
      <c r="C32" s="165">
        <v>658425</v>
      </c>
      <c r="D32" s="179">
        <f>'GF exp by funct by maj obj'!C141</f>
        <v>1100000</v>
      </c>
      <c r="E32" s="26">
        <f>658425.2</f>
        <v>658425.19999999995</v>
      </c>
      <c r="F32" s="179">
        <f>'GF exp by funct by maj obj'!I141</f>
        <v>658426</v>
      </c>
      <c r="G32" s="26">
        <f t="shared" si="2"/>
        <v>-441574</v>
      </c>
      <c r="H32" s="5"/>
      <c r="I32" s="1"/>
    </row>
    <row r="33" spans="1:9" x14ac:dyDescent="0.25">
      <c r="A33" s="166">
        <v>81</v>
      </c>
      <c r="B33" s="16" t="s">
        <v>25</v>
      </c>
      <c r="C33" s="165">
        <v>222583</v>
      </c>
      <c r="D33" s="179">
        <f>'GF exp by funct by maj obj'!C37</f>
        <v>0</v>
      </c>
      <c r="E33" s="26">
        <v>42834</v>
      </c>
      <c r="F33" s="179">
        <v>0</v>
      </c>
      <c r="G33" s="26">
        <f t="shared" si="2"/>
        <v>0</v>
      </c>
      <c r="H33" s="5"/>
      <c r="I33" s="1" t="s">
        <v>195</v>
      </c>
    </row>
    <row r="34" spans="1:9" x14ac:dyDescent="0.25">
      <c r="A34" s="166">
        <v>93</v>
      </c>
      <c r="B34" s="16" t="s">
        <v>26</v>
      </c>
      <c r="C34" s="165">
        <v>98460</v>
      </c>
      <c r="D34" s="179">
        <f>'GF exp by funct by maj obj'!C150</f>
        <v>210000</v>
      </c>
      <c r="E34" s="26">
        <v>210000</v>
      </c>
      <c r="F34" s="179">
        <f>'GF exp by funct by maj obj'!I150</f>
        <v>210000</v>
      </c>
      <c r="G34" s="26">
        <f t="shared" si="2"/>
        <v>0</v>
      </c>
      <c r="H34" s="5"/>
      <c r="I34" s="1"/>
    </row>
    <row r="35" spans="1:9" x14ac:dyDescent="0.25">
      <c r="A35" s="166">
        <v>95</v>
      </c>
      <c r="B35" s="16" t="s">
        <v>27</v>
      </c>
      <c r="C35" s="165">
        <v>83927</v>
      </c>
      <c r="D35" s="179">
        <f>'GF exp by funct by maj obj'!C154</f>
        <v>200000</v>
      </c>
      <c r="E35" s="26">
        <v>200000</v>
      </c>
      <c r="F35" s="179">
        <f>'GF exp by funct by maj obj'!I154</f>
        <v>200000</v>
      </c>
      <c r="G35" s="26">
        <f t="shared" si="2"/>
        <v>0</v>
      </c>
      <c r="H35" s="5"/>
      <c r="I35" s="1"/>
    </row>
    <row r="36" spans="1:9" x14ac:dyDescent="0.25">
      <c r="A36" s="166">
        <v>99</v>
      </c>
      <c r="B36" s="16" t="s">
        <v>28</v>
      </c>
      <c r="C36" s="165">
        <v>2783812</v>
      </c>
      <c r="D36" s="179">
        <f>'GF exp by funct by maj obj'!C158</f>
        <v>2952800</v>
      </c>
      <c r="E36" s="26">
        <v>2853235</v>
      </c>
      <c r="F36" s="179">
        <f>'GF exp by funct by maj obj'!I158</f>
        <v>2949800</v>
      </c>
      <c r="G36" s="26">
        <f t="shared" si="2"/>
        <v>-3000</v>
      </c>
      <c r="H36" s="5"/>
      <c r="I36" s="1" t="s">
        <v>196</v>
      </c>
    </row>
    <row r="37" spans="1:9" x14ac:dyDescent="0.25">
      <c r="B37" s="2" t="s">
        <v>29</v>
      </c>
      <c r="C37" s="28">
        <f t="shared" ref="C37:D37" si="3">SUM(C16:C36)</f>
        <v>436543762</v>
      </c>
      <c r="D37" s="28">
        <f t="shared" si="3"/>
        <v>460288474</v>
      </c>
      <c r="E37" s="28">
        <f>SUM(E16:E36)</f>
        <v>404688672.62</v>
      </c>
      <c r="F37" s="28">
        <f>SUM(F16:F36)</f>
        <v>466077222.27999997</v>
      </c>
      <c r="G37" s="28">
        <f>SUM(G16:G36)</f>
        <v>5788748.2799999714</v>
      </c>
      <c r="H37" s="5"/>
      <c r="I37" s="1"/>
    </row>
    <row r="38" spans="1:9" x14ac:dyDescent="0.25">
      <c r="B38" s="5"/>
      <c r="D38" s="6"/>
      <c r="E38" s="7"/>
      <c r="F38" s="7"/>
      <c r="G38" s="7"/>
      <c r="H38" s="5"/>
      <c r="I38" s="1"/>
    </row>
    <row r="39" spans="1:9" x14ac:dyDescent="0.25">
      <c r="B39" s="5"/>
      <c r="D39" s="6"/>
      <c r="E39" s="7"/>
      <c r="F39" s="7"/>
      <c r="G39" s="7"/>
      <c r="H39" s="5"/>
      <c r="I39" s="1"/>
    </row>
    <row r="40" spans="1:9" x14ac:dyDescent="0.25">
      <c r="B40" s="2" t="s">
        <v>30</v>
      </c>
      <c r="D40" s="6"/>
      <c r="E40" s="7"/>
      <c r="F40" s="7"/>
      <c r="G40" s="7"/>
      <c r="H40" s="5"/>
      <c r="I40" s="1"/>
    </row>
    <row r="41" spans="1:9" x14ac:dyDescent="0.25">
      <c r="B41" s="2" t="s">
        <v>31</v>
      </c>
      <c r="C41" s="30">
        <f t="shared" ref="C41:D41" si="4">+C13-C37</f>
        <v>4886512</v>
      </c>
      <c r="D41" s="30">
        <f t="shared" si="4"/>
        <v>-9032441</v>
      </c>
      <c r="E41" s="30">
        <f>+E13-E37</f>
        <v>21353006.490000069</v>
      </c>
      <c r="F41" s="30">
        <f>+F13-F37</f>
        <v>-9155465.2799999714</v>
      </c>
      <c r="G41" s="30">
        <f>+G13-G37</f>
        <v>-123024.27999997139</v>
      </c>
      <c r="H41" s="5"/>
      <c r="I41" s="1"/>
    </row>
    <row r="42" spans="1:9" x14ac:dyDescent="0.25">
      <c r="B42" s="2"/>
      <c r="C42" s="7"/>
      <c r="D42" s="6"/>
      <c r="E42" s="7"/>
      <c r="F42" s="156"/>
      <c r="G42" s="7"/>
      <c r="H42" s="5"/>
      <c r="I42" s="1"/>
    </row>
    <row r="43" spans="1:9" x14ac:dyDescent="0.25">
      <c r="B43" s="2" t="s">
        <v>32</v>
      </c>
      <c r="C43" s="7"/>
      <c r="D43" s="6"/>
      <c r="E43" s="7"/>
      <c r="F43" s="156"/>
      <c r="G43" s="7"/>
      <c r="H43" s="5"/>
      <c r="I43" s="1"/>
    </row>
    <row r="44" spans="1:9" x14ac:dyDescent="0.25">
      <c r="B44" s="5" t="s">
        <v>33</v>
      </c>
      <c r="C44" s="179">
        <v>115671</v>
      </c>
      <c r="D44" s="15">
        <f>+'GF Rev'!E49</f>
        <v>1800000</v>
      </c>
      <c r="E44" s="15">
        <f>+'GF Rev'!G49</f>
        <v>0</v>
      </c>
      <c r="F44" s="15">
        <f>+'GF Rev'!H49</f>
        <v>0</v>
      </c>
      <c r="G44" s="26">
        <f>+F44-D44</f>
        <v>-1800000</v>
      </c>
      <c r="H44" s="5"/>
      <c r="I44" s="1"/>
    </row>
    <row r="45" spans="1:9" x14ac:dyDescent="0.25">
      <c r="B45" s="5" t="s">
        <v>34</v>
      </c>
      <c r="C45" s="179">
        <v>-1700000</v>
      </c>
      <c r="D45" s="15">
        <v>-1700000</v>
      </c>
      <c r="E45" s="15">
        <v>1700000</v>
      </c>
      <c r="F45" s="15">
        <v>-500000</v>
      </c>
      <c r="G45" s="26">
        <f>+F45-D45</f>
        <v>1200000</v>
      </c>
      <c r="H45" s="5"/>
      <c r="I45" s="1"/>
    </row>
    <row r="46" spans="1:9" x14ac:dyDescent="0.25">
      <c r="B46" s="19" t="s">
        <v>35</v>
      </c>
      <c r="C46" s="20">
        <f>SUM(C44:C45)</f>
        <v>-1584329</v>
      </c>
      <c r="D46" s="20">
        <f>SUM(D44:D45)</f>
        <v>100000</v>
      </c>
      <c r="E46" s="20">
        <f>+E44-E45</f>
        <v>-1700000</v>
      </c>
      <c r="F46" s="20">
        <f>SUM(F44:F45)</f>
        <v>-500000</v>
      </c>
      <c r="G46" s="20">
        <f>SUM(G44:G45)</f>
        <v>-600000</v>
      </c>
      <c r="H46" s="5"/>
      <c r="I46" s="1"/>
    </row>
    <row r="47" spans="1:9" x14ac:dyDescent="0.25">
      <c r="B47" s="5"/>
      <c r="D47" s="6"/>
      <c r="E47" s="7"/>
      <c r="F47" s="7"/>
      <c r="G47" s="7"/>
      <c r="H47" s="5"/>
    </row>
    <row r="48" spans="1:9" ht="15.75" thickBot="1" x14ac:dyDescent="0.3">
      <c r="B48" s="2" t="s">
        <v>181</v>
      </c>
      <c r="C48" s="240">
        <f>+C41+C46</f>
        <v>3302183</v>
      </c>
      <c r="D48" s="240">
        <f>+D41+D46</f>
        <v>-8932441</v>
      </c>
      <c r="E48" s="240">
        <v>4000000</v>
      </c>
      <c r="F48" s="240">
        <f>+F41+F46</f>
        <v>-9655465.2799999714</v>
      </c>
      <c r="G48" s="240">
        <f>+G41+G46</f>
        <v>-723024.27999997139</v>
      </c>
      <c r="H48" s="5"/>
    </row>
    <row r="49" spans="1:8" ht="15.75" thickTop="1" x14ac:dyDescent="0.25">
      <c r="B49" s="5"/>
      <c r="D49" s="15"/>
      <c r="E49" s="15"/>
      <c r="F49" s="15"/>
      <c r="G49" s="15"/>
      <c r="H49" s="5"/>
    </row>
    <row r="50" spans="1:8" x14ac:dyDescent="0.25">
      <c r="B50" s="155" t="s">
        <v>39</v>
      </c>
      <c r="C50" s="179">
        <v>155368910</v>
      </c>
      <c r="D50" s="242">
        <f>C51</f>
        <v>158671093</v>
      </c>
      <c r="E50" s="196">
        <f>C51</f>
        <v>158671093</v>
      </c>
      <c r="F50" s="243">
        <f>+E51</f>
        <v>162671093</v>
      </c>
      <c r="G50" s="244"/>
      <c r="H50" s="245"/>
    </row>
    <row r="51" spans="1:8" ht="15.75" thickBot="1" x14ac:dyDescent="0.3">
      <c r="B51" s="2" t="s">
        <v>40</v>
      </c>
      <c r="C51" s="246">
        <f t="shared" ref="C51:D51" si="5">SUM(C48:C50)</f>
        <v>158671093</v>
      </c>
      <c r="D51" s="246">
        <f t="shared" si="5"/>
        <v>149738652</v>
      </c>
      <c r="E51" s="246">
        <f>SUM(E48:E50)</f>
        <v>162671093</v>
      </c>
      <c r="F51" s="246">
        <f>SUM(F48:F50)</f>
        <v>153015627.72000003</v>
      </c>
      <c r="G51" s="247"/>
      <c r="H51" s="245"/>
    </row>
    <row r="52" spans="1:8" ht="15.75" thickTop="1" x14ac:dyDescent="0.25"/>
    <row r="55" spans="1:8" x14ac:dyDescent="0.25">
      <c r="A55" s="283" t="s">
        <v>211</v>
      </c>
      <c r="B55" s="283"/>
      <c r="C55" s="283"/>
      <c r="D55" s="283"/>
      <c r="E55" s="283"/>
      <c r="F55" s="283"/>
      <c r="G55" s="283"/>
    </row>
  </sheetData>
  <mergeCells count="3">
    <mergeCell ref="B1:G1"/>
    <mergeCell ref="B2:G2"/>
    <mergeCell ref="A55:G55"/>
  </mergeCells>
  <printOptions horizontalCentered="1"/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1"/>
  <sheetViews>
    <sheetView zoomScale="125" zoomScaleNormal="125" workbookViewId="0">
      <selection sqref="A1:I1"/>
    </sheetView>
  </sheetViews>
  <sheetFormatPr defaultRowHeight="12" x14ac:dyDescent="0.2"/>
  <cols>
    <col min="1" max="1" width="6" style="114" customWidth="1"/>
    <col min="2" max="2" width="31" style="114" bestFit="1" customWidth="1"/>
    <col min="3" max="3" width="12" style="119" customWidth="1"/>
    <col min="4" max="4" width="11.85546875" style="151" hidden="1" customWidth="1"/>
    <col min="5" max="5" width="12.5703125" style="119" customWidth="1"/>
    <col min="6" max="6" width="15.28515625" style="151" hidden="1" customWidth="1"/>
    <col min="7" max="7" width="12.85546875" style="119" hidden="1" customWidth="1"/>
    <col min="8" max="8" width="13.42578125" style="119" bestFit="1" customWidth="1"/>
    <col min="9" max="9" width="14.140625" style="115" customWidth="1"/>
    <col min="10" max="10" width="1.5703125" style="114" customWidth="1"/>
    <col min="11" max="11" width="0" style="114" hidden="1" customWidth="1"/>
    <col min="12" max="12" width="12.5703125" style="115" hidden="1" customWidth="1"/>
    <col min="13" max="13" width="9.140625" style="114"/>
    <col min="14" max="14" width="12.85546875" style="158" bestFit="1" customWidth="1"/>
    <col min="15" max="16384" width="9.140625" style="114"/>
  </cols>
  <sheetData>
    <row r="1" spans="1:24" ht="21" x14ac:dyDescent="0.35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L1" s="114"/>
    </row>
    <row r="2" spans="1:24" ht="21" x14ac:dyDescent="0.35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L2" s="114"/>
      <c r="N2" s="119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x14ac:dyDescent="0.2">
      <c r="N3" s="119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x14ac:dyDescent="0.2">
      <c r="C4" s="198"/>
      <c r="D4" s="199"/>
      <c r="E4" s="200"/>
      <c r="F4" s="201"/>
      <c r="G4" s="200" t="s">
        <v>192</v>
      </c>
      <c r="H4" s="200"/>
      <c r="I4" s="284" t="s">
        <v>208</v>
      </c>
      <c r="L4" s="116"/>
      <c r="N4" s="119"/>
      <c r="O4" s="235"/>
      <c r="P4" s="235"/>
      <c r="Q4" s="235"/>
      <c r="R4" s="235"/>
      <c r="S4" s="235"/>
      <c r="T4" s="235"/>
      <c r="U4" s="235"/>
      <c r="V4" s="235"/>
      <c r="W4" s="235"/>
      <c r="X4" s="235"/>
    </row>
    <row r="5" spans="1:24" x14ac:dyDescent="0.2">
      <c r="C5" s="200"/>
      <c r="D5" s="200"/>
      <c r="E5" s="200"/>
      <c r="F5" s="232"/>
      <c r="G5" s="200"/>
      <c r="H5" s="200"/>
      <c r="I5" s="284"/>
      <c r="L5" s="116"/>
      <c r="N5" s="119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4" ht="48.75" customHeight="1" x14ac:dyDescent="0.35">
      <c r="C6" s="202" t="s">
        <v>203</v>
      </c>
      <c r="D6" s="203" t="s">
        <v>172</v>
      </c>
      <c r="E6" s="202" t="s">
        <v>204</v>
      </c>
      <c r="F6" s="201"/>
      <c r="G6" s="205" t="s">
        <v>191</v>
      </c>
      <c r="H6" s="202" t="s">
        <v>207</v>
      </c>
      <c r="I6" s="284"/>
      <c r="L6" s="141" t="s">
        <v>170</v>
      </c>
      <c r="N6" s="236"/>
      <c r="O6" s="237"/>
      <c r="P6" s="237"/>
      <c r="Q6" s="235"/>
      <c r="R6" s="235"/>
      <c r="S6" s="235"/>
      <c r="T6" s="235"/>
      <c r="U6" s="235"/>
      <c r="V6" s="235"/>
      <c r="W6" s="235"/>
      <c r="X6" s="235"/>
    </row>
    <row r="7" spans="1:24" x14ac:dyDescent="0.2">
      <c r="A7" s="114" t="s">
        <v>50</v>
      </c>
      <c r="N7" s="119"/>
      <c r="O7" s="235"/>
      <c r="P7" s="235"/>
      <c r="Q7" s="235"/>
      <c r="R7" s="235"/>
      <c r="S7" s="235"/>
      <c r="T7" s="235"/>
      <c r="U7" s="235"/>
      <c r="V7" s="235"/>
      <c r="W7" s="235"/>
      <c r="X7" s="235"/>
    </row>
    <row r="8" spans="1:24" x14ac:dyDescent="0.2">
      <c r="A8" s="114">
        <v>5711</v>
      </c>
      <c r="B8" s="114" t="s">
        <v>148</v>
      </c>
      <c r="C8" s="118">
        <v>301641053.08999997</v>
      </c>
      <c r="D8" s="152">
        <v>237864270</v>
      </c>
      <c r="E8" s="118">
        <v>332383842</v>
      </c>
      <c r="F8" s="152">
        <v>235125038.58000001</v>
      </c>
      <c r="G8" s="206">
        <v>336339585.80000001</v>
      </c>
      <c r="H8" s="118">
        <v>368057814</v>
      </c>
      <c r="I8" s="117">
        <f>+H8-E8</f>
        <v>35673972</v>
      </c>
      <c r="L8" s="117">
        <v>231921364</v>
      </c>
      <c r="N8" s="119"/>
      <c r="O8" s="119"/>
      <c r="P8" s="235"/>
      <c r="Q8" s="235"/>
      <c r="R8" s="235"/>
      <c r="S8" s="235"/>
      <c r="T8" s="235"/>
      <c r="U8" s="235"/>
      <c r="V8" s="235"/>
      <c r="W8" s="235"/>
      <c r="X8" s="235"/>
    </row>
    <row r="9" spans="1:24" x14ac:dyDescent="0.2">
      <c r="A9" s="114">
        <v>5712</v>
      </c>
      <c r="B9" s="114" t="s">
        <v>149</v>
      </c>
      <c r="C9" s="119">
        <v>2703650.71</v>
      </c>
      <c r="D9" s="151">
        <v>1000000</v>
      </c>
      <c r="E9" s="119">
        <v>2500000</v>
      </c>
      <c r="F9" s="151">
        <v>988993.15</v>
      </c>
      <c r="G9" s="207">
        <v>2266097.6800000002</v>
      </c>
      <c r="H9" s="119">
        <v>2500000</v>
      </c>
      <c r="I9" s="115">
        <f>+H9-E9</f>
        <v>0</v>
      </c>
      <c r="L9" s="115">
        <v>1000000</v>
      </c>
      <c r="N9" s="119"/>
      <c r="O9" s="119"/>
      <c r="P9" s="235"/>
      <c r="Q9" s="235"/>
      <c r="R9" s="235"/>
      <c r="S9" s="235"/>
      <c r="T9" s="235"/>
      <c r="U9" s="235"/>
      <c r="V9" s="235"/>
      <c r="W9" s="235"/>
      <c r="X9" s="235"/>
    </row>
    <row r="10" spans="1:24" x14ac:dyDescent="0.2">
      <c r="A10" s="114">
        <v>5719</v>
      </c>
      <c r="B10" s="114" t="s">
        <v>143</v>
      </c>
      <c r="C10" s="119">
        <v>1652678.76</v>
      </c>
      <c r="D10" s="151">
        <v>1300000</v>
      </c>
      <c r="E10" s="119">
        <v>2000000</v>
      </c>
      <c r="F10" s="151">
        <v>1358398.11</v>
      </c>
      <c r="G10" s="207">
        <v>1500573.93</v>
      </c>
      <c r="H10" s="119">
        <v>2000000</v>
      </c>
      <c r="I10" s="158">
        <f t="shared" ref="I10:I22" si="0">+H10-E10</f>
        <v>0</v>
      </c>
      <c r="J10" s="171"/>
      <c r="L10" s="115">
        <v>1300000</v>
      </c>
      <c r="N10" s="119"/>
      <c r="O10" s="119"/>
      <c r="P10" s="235"/>
      <c r="Q10" s="235"/>
      <c r="R10" s="235"/>
      <c r="S10" s="235"/>
      <c r="T10" s="235"/>
      <c r="U10" s="235"/>
      <c r="V10" s="235"/>
      <c r="W10" s="235"/>
      <c r="X10" s="235"/>
    </row>
    <row r="11" spans="1:24" x14ac:dyDescent="0.2">
      <c r="A11" s="114">
        <v>5739</v>
      </c>
      <c r="B11" s="114" t="s">
        <v>150</v>
      </c>
      <c r="C11" s="119">
        <v>6042091.6699999999</v>
      </c>
      <c r="D11" s="151">
        <v>4159645</v>
      </c>
      <c r="E11" s="119">
        <v>6382395</v>
      </c>
      <c r="F11" s="151">
        <v>5579887.5099999998</v>
      </c>
      <c r="G11" s="207">
        <v>5972063.79</v>
      </c>
      <c r="H11" s="119">
        <v>6723070</v>
      </c>
      <c r="I11" s="158">
        <f t="shared" si="0"/>
        <v>340675</v>
      </c>
      <c r="J11" s="171"/>
      <c r="L11" s="115">
        <v>4185645</v>
      </c>
      <c r="N11" s="119"/>
      <c r="O11" s="119"/>
      <c r="P11" s="235"/>
      <c r="Q11" s="235"/>
      <c r="R11" s="235"/>
      <c r="S11" s="235"/>
      <c r="T11" s="235"/>
      <c r="U11" s="235"/>
      <c r="V11" s="235"/>
      <c r="W11" s="235"/>
      <c r="X11" s="235"/>
    </row>
    <row r="12" spans="1:24" x14ac:dyDescent="0.2">
      <c r="A12" s="114">
        <v>5742</v>
      </c>
      <c r="B12" s="114" t="s">
        <v>144</v>
      </c>
      <c r="C12" s="119">
        <v>864067.82</v>
      </c>
      <c r="D12" s="151">
        <v>250000</v>
      </c>
      <c r="E12" s="119">
        <v>900000</v>
      </c>
      <c r="F12" s="151">
        <v>331961.7</v>
      </c>
      <c r="G12" s="207">
        <v>1268441.72</v>
      </c>
      <c r="H12" s="119">
        <v>1595000</v>
      </c>
      <c r="I12" s="158">
        <f t="shared" si="0"/>
        <v>695000</v>
      </c>
      <c r="J12" s="171"/>
      <c r="L12" s="115">
        <v>250000</v>
      </c>
      <c r="N12" s="119"/>
      <c r="O12" s="119"/>
      <c r="P12" s="235"/>
      <c r="Q12" s="235"/>
      <c r="R12" s="235"/>
      <c r="S12" s="235"/>
      <c r="T12" s="235"/>
      <c r="U12" s="235"/>
      <c r="V12" s="235"/>
      <c r="W12" s="235"/>
      <c r="X12" s="235"/>
    </row>
    <row r="13" spans="1:24" x14ac:dyDescent="0.2">
      <c r="A13" s="114">
        <v>5743</v>
      </c>
      <c r="B13" s="114" t="s">
        <v>151</v>
      </c>
      <c r="C13" s="119">
        <v>762508.3</v>
      </c>
      <c r="D13" s="151">
        <v>349384</v>
      </c>
      <c r="E13" s="119">
        <v>842654</v>
      </c>
      <c r="F13" s="151">
        <v>298373.25</v>
      </c>
      <c r="G13" s="207">
        <v>845691.95</v>
      </c>
      <c r="H13" s="119">
        <v>864884</v>
      </c>
      <c r="I13" s="158">
        <f t="shared" si="0"/>
        <v>22230</v>
      </c>
      <c r="J13" s="171"/>
      <c r="L13" s="115">
        <v>349384</v>
      </c>
      <c r="N13" s="119"/>
      <c r="O13" s="119"/>
      <c r="P13" s="235"/>
      <c r="Q13" s="235"/>
      <c r="R13" s="235"/>
      <c r="S13" s="235"/>
      <c r="T13" s="235"/>
      <c r="U13" s="235"/>
      <c r="V13" s="235"/>
      <c r="W13" s="235"/>
      <c r="X13" s="235"/>
    </row>
    <row r="14" spans="1:24" x14ac:dyDescent="0.2">
      <c r="A14" s="114">
        <v>5744</v>
      </c>
      <c r="B14" s="114" t="s">
        <v>152</v>
      </c>
      <c r="C14" s="119">
        <v>2063.8000000000002</v>
      </c>
      <c r="D14" s="151">
        <v>0</v>
      </c>
      <c r="E14" s="119">
        <v>0</v>
      </c>
      <c r="F14" s="151">
        <v>122590.31</v>
      </c>
      <c r="G14" s="207">
        <v>1175.8399999999999</v>
      </c>
      <c r="H14" s="119">
        <v>0</v>
      </c>
      <c r="I14" s="158">
        <f t="shared" si="0"/>
        <v>0</v>
      </c>
      <c r="J14" s="171"/>
      <c r="L14" s="115">
        <v>0</v>
      </c>
      <c r="N14" s="119"/>
      <c r="O14" s="119"/>
      <c r="P14" s="235"/>
      <c r="Q14" s="235"/>
      <c r="R14" s="235"/>
      <c r="S14" s="235"/>
      <c r="T14" s="235"/>
      <c r="U14" s="235"/>
      <c r="V14" s="235"/>
      <c r="W14" s="235"/>
      <c r="X14" s="235"/>
    </row>
    <row r="15" spans="1:24" x14ac:dyDescent="0.2">
      <c r="A15" s="114">
        <v>5745</v>
      </c>
      <c r="B15" s="114" t="s">
        <v>153</v>
      </c>
      <c r="C15" s="119">
        <v>0</v>
      </c>
      <c r="D15" s="151">
        <v>0</v>
      </c>
      <c r="E15" s="119">
        <v>0</v>
      </c>
      <c r="F15" s="151">
        <v>254678.69</v>
      </c>
      <c r="G15" s="207">
        <v>1237.8699999999999</v>
      </c>
      <c r="H15" s="119">
        <v>0</v>
      </c>
      <c r="I15" s="158">
        <f t="shared" si="0"/>
        <v>0</v>
      </c>
      <c r="J15" s="171"/>
      <c r="L15" s="115">
        <v>0</v>
      </c>
      <c r="O15" s="158"/>
    </row>
    <row r="16" spans="1:24" x14ac:dyDescent="0.2">
      <c r="A16" s="114">
        <v>5749</v>
      </c>
      <c r="B16" s="114" t="s">
        <v>154</v>
      </c>
      <c r="C16" s="119">
        <v>1481608</v>
      </c>
      <c r="D16" s="151">
        <v>477258</v>
      </c>
      <c r="E16" s="119">
        <v>7067304</v>
      </c>
      <c r="F16" s="151">
        <v>409542.72</v>
      </c>
      <c r="G16" s="207">
        <v>1154549.1100000001</v>
      </c>
      <c r="H16" s="119">
        <v>2563304</v>
      </c>
      <c r="I16" s="158">
        <f t="shared" si="0"/>
        <v>-4504000</v>
      </c>
      <c r="J16" s="171"/>
      <c r="L16" s="115">
        <v>477258</v>
      </c>
      <c r="O16" s="158"/>
    </row>
    <row r="17" spans="1:15" x14ac:dyDescent="0.2">
      <c r="A17" s="114">
        <v>5751</v>
      </c>
      <c r="B17" s="114" t="s">
        <v>123</v>
      </c>
      <c r="C17" s="119">
        <v>0</v>
      </c>
      <c r="E17" s="119">
        <v>0</v>
      </c>
      <c r="G17" s="207">
        <v>0</v>
      </c>
      <c r="I17" s="158">
        <f t="shared" si="0"/>
        <v>0</v>
      </c>
      <c r="J17" s="171"/>
      <c r="L17" s="158"/>
      <c r="O17" s="158"/>
    </row>
    <row r="18" spans="1:15" x14ac:dyDescent="0.2">
      <c r="A18" s="114">
        <v>5752</v>
      </c>
      <c r="B18" s="114" t="s">
        <v>155</v>
      </c>
      <c r="C18" s="119">
        <v>891942</v>
      </c>
      <c r="D18" s="151">
        <v>664500</v>
      </c>
      <c r="E18" s="119">
        <v>983543</v>
      </c>
      <c r="F18" s="151">
        <v>835287.95</v>
      </c>
      <c r="G18" s="207">
        <v>828575.93</v>
      </c>
      <c r="H18" s="119">
        <v>1086693</v>
      </c>
      <c r="I18" s="158">
        <f t="shared" si="0"/>
        <v>103150</v>
      </c>
      <c r="J18" s="171"/>
      <c r="L18" s="115">
        <v>664500</v>
      </c>
      <c r="O18" s="158"/>
    </row>
    <row r="19" spans="1:15" x14ac:dyDescent="0.2">
      <c r="A19" s="114">
        <v>5753</v>
      </c>
      <c r="B19" s="114" t="s">
        <v>156</v>
      </c>
      <c r="C19" s="119">
        <v>121767.9</v>
      </c>
      <c r="D19" s="151">
        <v>136700</v>
      </c>
      <c r="E19" s="119">
        <v>120600</v>
      </c>
      <c r="F19" s="151">
        <v>108035</v>
      </c>
      <c r="G19" s="207">
        <v>123945</v>
      </c>
      <c r="H19" s="119">
        <v>111600</v>
      </c>
      <c r="I19" s="158">
        <f t="shared" si="0"/>
        <v>-9000</v>
      </c>
      <c r="J19" s="171"/>
      <c r="L19" s="115">
        <v>136700</v>
      </c>
      <c r="O19" s="158"/>
    </row>
    <row r="20" spans="1:15" x14ac:dyDescent="0.2">
      <c r="A20" s="114">
        <v>5755</v>
      </c>
      <c r="B20" s="114" t="s">
        <v>157</v>
      </c>
      <c r="C20" s="119">
        <v>0</v>
      </c>
      <c r="D20" s="151">
        <v>0</v>
      </c>
      <c r="E20" s="119">
        <v>0</v>
      </c>
      <c r="F20" s="151">
        <v>384</v>
      </c>
      <c r="G20" s="207">
        <v>0</v>
      </c>
      <c r="H20" s="119">
        <v>0</v>
      </c>
      <c r="I20" s="158">
        <f t="shared" si="0"/>
        <v>0</v>
      </c>
      <c r="J20" s="171"/>
      <c r="L20" s="115">
        <v>0</v>
      </c>
      <c r="O20" s="158"/>
    </row>
    <row r="21" spans="1:15" x14ac:dyDescent="0.2">
      <c r="A21" s="114">
        <v>5759</v>
      </c>
      <c r="B21" s="114" t="s">
        <v>158</v>
      </c>
      <c r="C21" s="119">
        <v>0</v>
      </c>
      <c r="D21" s="151">
        <v>0</v>
      </c>
      <c r="E21" s="119">
        <v>0</v>
      </c>
      <c r="F21" s="151">
        <v>16117.8</v>
      </c>
      <c r="G21" s="207">
        <v>0</v>
      </c>
      <c r="H21" s="119">
        <v>0</v>
      </c>
      <c r="I21" s="158">
        <f t="shared" si="0"/>
        <v>0</v>
      </c>
      <c r="J21" s="171"/>
      <c r="L21" s="115">
        <v>0</v>
      </c>
      <c r="O21" s="158"/>
    </row>
    <row r="22" spans="1:15" x14ac:dyDescent="0.2">
      <c r="A22" s="114">
        <v>5769</v>
      </c>
      <c r="B22" s="114" t="s">
        <v>159</v>
      </c>
      <c r="C22" s="119">
        <v>469822</v>
      </c>
      <c r="D22" s="151">
        <v>394628</v>
      </c>
      <c r="E22" s="119">
        <v>505000</v>
      </c>
      <c r="F22" s="151">
        <v>424449.18</v>
      </c>
      <c r="G22" s="207">
        <v>492451.43</v>
      </c>
      <c r="H22" s="119">
        <v>505000</v>
      </c>
      <c r="I22" s="158">
        <f t="shared" si="0"/>
        <v>0</v>
      </c>
      <c r="J22" s="171"/>
      <c r="L22" s="119">
        <v>394628</v>
      </c>
      <c r="O22" s="158"/>
    </row>
    <row r="23" spans="1:15" x14ac:dyDescent="0.2">
      <c r="D23" s="119"/>
      <c r="F23" s="119"/>
      <c r="J23" s="171"/>
      <c r="L23" s="119"/>
    </row>
    <row r="24" spans="1:15" x14ac:dyDescent="0.2">
      <c r="B24" s="114" t="s">
        <v>51</v>
      </c>
      <c r="C24" s="148">
        <f>SUM(C8:C23)</f>
        <v>316633254.04999995</v>
      </c>
      <c r="D24" s="148">
        <f t="shared" ref="D24:I24" si="1">SUM(D8:D23)</f>
        <v>246596385</v>
      </c>
      <c r="E24" s="148">
        <f t="shared" ref="E24" si="2">SUM(E8:E23)</f>
        <v>353685338</v>
      </c>
      <c r="F24" s="148">
        <f t="shared" si="1"/>
        <v>245853737.95000002</v>
      </c>
      <c r="G24" s="148">
        <f t="shared" si="1"/>
        <v>350794390.05000007</v>
      </c>
      <c r="H24" s="148">
        <f t="shared" si="1"/>
        <v>386007365</v>
      </c>
      <c r="I24" s="120">
        <f t="shared" si="1"/>
        <v>32322027</v>
      </c>
      <c r="J24" s="171"/>
      <c r="L24" s="120">
        <f>SUM(L8:L23)</f>
        <v>240679479</v>
      </c>
    </row>
    <row r="25" spans="1:15" x14ac:dyDescent="0.2">
      <c r="D25" s="119"/>
      <c r="F25" s="119"/>
      <c r="J25" s="171"/>
      <c r="L25" s="119"/>
    </row>
    <row r="26" spans="1:15" x14ac:dyDescent="0.2">
      <c r="A26" s="114" t="s">
        <v>43</v>
      </c>
      <c r="J26" s="171"/>
      <c r="L26" s="119"/>
    </row>
    <row r="27" spans="1:15" x14ac:dyDescent="0.2">
      <c r="A27" s="114">
        <v>5811</v>
      </c>
      <c r="B27" s="114" t="s">
        <v>166</v>
      </c>
      <c r="C27" s="119">
        <v>9083207</v>
      </c>
      <c r="D27" s="151">
        <v>11973552</v>
      </c>
      <c r="E27" s="119">
        <v>12987697</v>
      </c>
      <c r="F27" s="151">
        <v>12633210</v>
      </c>
      <c r="G27" s="119">
        <v>14325430</v>
      </c>
      <c r="H27" s="119">
        <v>10026700</v>
      </c>
      <c r="I27" s="115">
        <f>+H27-E27</f>
        <v>-2960997</v>
      </c>
      <c r="J27" s="171"/>
      <c r="L27" s="115">
        <v>12818949</v>
      </c>
    </row>
    <row r="28" spans="1:15" x14ac:dyDescent="0.2">
      <c r="A28" s="114">
        <v>5812</v>
      </c>
      <c r="B28" s="114" t="s">
        <v>167</v>
      </c>
      <c r="C28" s="119">
        <v>88674667</v>
      </c>
      <c r="D28" s="151">
        <v>95040597</v>
      </c>
      <c r="E28" s="119">
        <v>57076794</v>
      </c>
      <c r="F28" s="151">
        <v>65875880.670000002</v>
      </c>
      <c r="G28" s="119">
        <v>38016800</v>
      </c>
      <c r="H28" s="119">
        <v>31426950</v>
      </c>
      <c r="I28" s="158">
        <f t="shared" ref="I28:I31" si="3">+H28-E28</f>
        <v>-25649844</v>
      </c>
      <c r="J28" s="171"/>
      <c r="L28" s="115">
        <v>90909379</v>
      </c>
    </row>
    <row r="29" spans="1:15" hidden="1" x14ac:dyDescent="0.2">
      <c r="A29" s="114">
        <v>5819</v>
      </c>
      <c r="B29" s="114" t="s">
        <v>168</v>
      </c>
      <c r="D29" s="151">
        <v>0</v>
      </c>
      <c r="E29" s="119">
        <v>0</v>
      </c>
      <c r="F29" s="151">
        <v>414.96</v>
      </c>
      <c r="H29" s="119">
        <v>0</v>
      </c>
      <c r="I29" s="158">
        <f t="shared" si="3"/>
        <v>0</v>
      </c>
      <c r="J29" s="171" t="e">
        <f t="shared" ref="J29" si="4">+I29/I$29</f>
        <v>#DIV/0!</v>
      </c>
      <c r="L29" s="115">
        <v>0</v>
      </c>
    </row>
    <row r="30" spans="1:15" x14ac:dyDescent="0.2">
      <c r="A30" s="114">
        <v>5829</v>
      </c>
      <c r="B30" s="114" t="s">
        <v>169</v>
      </c>
      <c r="C30" s="119">
        <v>114087</v>
      </c>
      <c r="D30" s="151">
        <v>0</v>
      </c>
      <c r="E30" s="119">
        <v>21192504</v>
      </c>
      <c r="F30" s="151">
        <v>59394.02</v>
      </c>
      <c r="G30" s="119">
        <v>115700.25</v>
      </c>
      <c r="H30" s="119">
        <v>111000</v>
      </c>
      <c r="I30" s="158">
        <f t="shared" si="3"/>
        <v>-21081504</v>
      </c>
      <c r="J30" s="171"/>
      <c r="L30" s="115">
        <v>0</v>
      </c>
    </row>
    <row r="31" spans="1:15" x14ac:dyDescent="0.2">
      <c r="A31" s="114">
        <v>5831</v>
      </c>
      <c r="B31" s="114" t="s">
        <v>126</v>
      </c>
      <c r="C31" s="119">
        <v>20099028.649999999</v>
      </c>
      <c r="D31" s="151">
        <v>19000007</v>
      </c>
      <c r="E31" s="119">
        <v>111000</v>
      </c>
      <c r="F31" s="151">
        <v>15301468.369999999</v>
      </c>
      <c r="G31" s="119">
        <v>16182320.33</v>
      </c>
      <c r="H31" s="119">
        <v>23650842</v>
      </c>
      <c r="I31" s="158">
        <f t="shared" si="3"/>
        <v>23539842</v>
      </c>
      <c r="J31" s="171"/>
      <c r="L31" s="115">
        <v>19000007</v>
      </c>
    </row>
    <row r="32" spans="1:15" x14ac:dyDescent="0.2">
      <c r="J32" s="171"/>
    </row>
    <row r="33" spans="1:12" x14ac:dyDescent="0.2">
      <c r="B33" s="114" t="s">
        <v>52</v>
      </c>
      <c r="C33" s="148">
        <f>SUM(C27:C32)</f>
        <v>117970989.65000001</v>
      </c>
      <c r="D33" s="148">
        <f t="shared" ref="D33:I33" si="5">SUM(D27:D32)</f>
        <v>126014156</v>
      </c>
      <c r="E33" s="148">
        <f t="shared" ref="E33" si="6">SUM(E27:E32)</f>
        <v>91367995</v>
      </c>
      <c r="F33" s="148">
        <f t="shared" si="5"/>
        <v>93870368.019999996</v>
      </c>
      <c r="G33" s="148">
        <f t="shared" si="5"/>
        <v>68640250.579999998</v>
      </c>
      <c r="H33" s="148">
        <f t="shared" si="5"/>
        <v>65215492</v>
      </c>
      <c r="I33" s="120">
        <f t="shared" si="5"/>
        <v>-26152503</v>
      </c>
      <c r="J33" s="171"/>
      <c r="L33" s="120">
        <f>SUM(L27:L32)</f>
        <v>122728335</v>
      </c>
    </row>
    <row r="34" spans="1:12" x14ac:dyDescent="0.2">
      <c r="D34" s="119"/>
      <c r="F34" s="119"/>
      <c r="J34" s="171"/>
    </row>
    <row r="35" spans="1:12" x14ac:dyDescent="0.2">
      <c r="A35" s="114" t="s">
        <v>47</v>
      </c>
      <c r="J35" s="171"/>
    </row>
    <row r="36" spans="1:12" x14ac:dyDescent="0.2">
      <c r="A36" s="114">
        <v>5929</v>
      </c>
      <c r="B36" s="114" t="s">
        <v>165</v>
      </c>
      <c r="C36" s="119">
        <v>230372</v>
      </c>
      <c r="D36" s="151">
        <v>140700</v>
      </c>
      <c r="E36" s="119">
        <v>227700</v>
      </c>
      <c r="F36" s="151">
        <v>242506.84</v>
      </c>
      <c r="G36" s="119">
        <v>198353.56</v>
      </c>
      <c r="H36" s="119">
        <v>223900</v>
      </c>
      <c r="I36" s="115">
        <f>+H36-E36</f>
        <v>-3800</v>
      </c>
      <c r="J36" s="171"/>
      <c r="L36" s="115">
        <v>140700</v>
      </c>
    </row>
    <row r="37" spans="1:12" x14ac:dyDescent="0.2">
      <c r="A37" s="114">
        <v>5931</v>
      </c>
      <c r="B37" s="114" t="s">
        <v>164</v>
      </c>
      <c r="C37" s="119">
        <v>2608735.9</v>
      </c>
      <c r="D37" s="151">
        <v>100000</v>
      </c>
      <c r="E37" s="119">
        <v>2700000</v>
      </c>
      <c r="F37" s="151">
        <v>685352.25</v>
      </c>
      <c r="G37" s="119">
        <v>3203795.09</v>
      </c>
      <c r="H37" s="119">
        <v>2700000</v>
      </c>
      <c r="I37" s="158">
        <f t="shared" ref="I37:I40" si="7">+H37-E37</f>
        <v>0</v>
      </c>
      <c r="J37" s="171"/>
      <c r="L37" s="115">
        <v>100000</v>
      </c>
    </row>
    <row r="38" spans="1:12" hidden="1" x14ac:dyDescent="0.2">
      <c r="A38" s="114">
        <v>5939</v>
      </c>
      <c r="B38" s="114" t="s">
        <v>163</v>
      </c>
      <c r="D38" s="151">
        <v>0</v>
      </c>
      <c r="E38" s="119">
        <v>0</v>
      </c>
      <c r="F38" s="151">
        <v>620.91999999999996</v>
      </c>
      <c r="G38" s="119">
        <v>0</v>
      </c>
      <c r="H38" s="119">
        <v>0</v>
      </c>
      <c r="I38" s="158">
        <f t="shared" si="7"/>
        <v>0</v>
      </c>
      <c r="J38" s="171"/>
      <c r="L38" s="115">
        <v>0</v>
      </c>
    </row>
    <row r="39" spans="1:12" x14ac:dyDescent="0.2">
      <c r="A39" s="114">
        <v>5941</v>
      </c>
      <c r="B39" s="114" t="s">
        <v>162</v>
      </c>
      <c r="C39" s="119">
        <v>3672395.92</v>
      </c>
      <c r="D39" s="151">
        <v>750000</v>
      </c>
      <c r="E39" s="119">
        <v>3000000</v>
      </c>
      <c r="F39" s="151">
        <v>2191640</v>
      </c>
      <c r="G39" s="119">
        <v>2902591.93</v>
      </c>
      <c r="H39" s="119">
        <v>2500000</v>
      </c>
      <c r="I39" s="158">
        <f t="shared" si="7"/>
        <v>-500000</v>
      </c>
      <c r="L39" s="115">
        <v>750000</v>
      </c>
    </row>
    <row r="40" spans="1:12" x14ac:dyDescent="0.2">
      <c r="A40" s="114">
        <v>5949</v>
      </c>
      <c r="B40" s="114" t="s">
        <v>161</v>
      </c>
      <c r="C40" s="119">
        <v>314525.77</v>
      </c>
      <c r="D40" s="151">
        <v>255000</v>
      </c>
      <c r="E40" s="119">
        <v>275000</v>
      </c>
      <c r="F40" s="151">
        <v>220157.97</v>
      </c>
      <c r="G40" s="119">
        <v>302297.90000000002</v>
      </c>
      <c r="H40" s="119">
        <v>275000</v>
      </c>
      <c r="I40" s="158">
        <f t="shared" si="7"/>
        <v>0</v>
      </c>
      <c r="L40" s="115">
        <v>255000</v>
      </c>
    </row>
    <row r="41" spans="1:12" x14ac:dyDescent="0.2">
      <c r="D41" s="119"/>
      <c r="F41" s="119"/>
      <c r="I41" s="119"/>
    </row>
    <row r="42" spans="1:12" x14ac:dyDescent="0.2">
      <c r="B42" s="114" t="s">
        <v>56</v>
      </c>
      <c r="C42" s="148">
        <f>SUM(C36:C41)</f>
        <v>6826029.5899999999</v>
      </c>
      <c r="D42" s="148">
        <f t="shared" ref="D42:I42" si="8">SUM(D36:D41)</f>
        <v>1245700</v>
      </c>
      <c r="E42" s="148">
        <f t="shared" ref="E42" si="9">SUM(E36:E41)</f>
        <v>6202700</v>
      </c>
      <c r="F42" s="148">
        <f t="shared" si="8"/>
        <v>3340277.98</v>
      </c>
      <c r="G42" s="148">
        <f t="shared" si="8"/>
        <v>6607038.4800000004</v>
      </c>
      <c r="H42" s="148">
        <f t="shared" si="8"/>
        <v>5698900</v>
      </c>
      <c r="I42" s="148">
        <f t="shared" si="8"/>
        <v>-503800</v>
      </c>
      <c r="L42" s="120">
        <f>SUM(L36:L41)</f>
        <v>1245700</v>
      </c>
    </row>
    <row r="43" spans="1:12" x14ac:dyDescent="0.2">
      <c r="D43" s="119"/>
      <c r="F43" s="119"/>
      <c r="I43" s="119"/>
    </row>
    <row r="44" spans="1:12" x14ac:dyDescent="0.2">
      <c r="A44" s="114" t="s">
        <v>53</v>
      </c>
    </row>
    <row r="45" spans="1:12" x14ac:dyDescent="0.2">
      <c r="A45" s="114">
        <v>7912</v>
      </c>
      <c r="B45" s="114" t="s">
        <v>160</v>
      </c>
      <c r="C45" s="119">
        <v>0</v>
      </c>
      <c r="D45" s="151">
        <v>0</v>
      </c>
      <c r="E45" s="119">
        <v>0</v>
      </c>
      <c r="F45" s="151">
        <v>89540.44</v>
      </c>
      <c r="G45" s="119">
        <v>0</v>
      </c>
      <c r="H45" s="119">
        <v>0</v>
      </c>
      <c r="I45" s="115">
        <f>+H45-E45</f>
        <v>0</v>
      </c>
      <c r="L45" s="115">
        <v>0</v>
      </c>
    </row>
    <row r="46" spans="1:12" x14ac:dyDescent="0.2">
      <c r="A46" s="114">
        <v>7913</v>
      </c>
      <c r="B46" s="114" t="s">
        <v>182</v>
      </c>
      <c r="C46" s="119">
        <v>0</v>
      </c>
      <c r="E46" s="119">
        <v>1800000</v>
      </c>
      <c r="G46" s="119">
        <v>0</v>
      </c>
      <c r="H46" s="119">
        <v>0</v>
      </c>
      <c r="I46" s="158">
        <f>+H46-E46</f>
        <v>-1800000</v>
      </c>
      <c r="L46" s="158"/>
    </row>
    <row r="47" spans="1:12" x14ac:dyDescent="0.2">
      <c r="A47" s="114">
        <v>7915</v>
      </c>
      <c r="B47" s="114" t="s">
        <v>190</v>
      </c>
      <c r="C47" s="119">
        <v>0</v>
      </c>
      <c r="E47" s="119">
        <v>0</v>
      </c>
      <c r="G47" s="119">
        <v>0</v>
      </c>
      <c r="H47" s="119">
        <v>0</v>
      </c>
      <c r="I47" s="158">
        <f>+H47-E47</f>
        <v>0</v>
      </c>
      <c r="L47" s="158"/>
    </row>
    <row r="48" spans="1:12" x14ac:dyDescent="0.2">
      <c r="I48" s="158"/>
      <c r="L48" s="158"/>
    </row>
    <row r="49" spans="1:12" x14ac:dyDescent="0.2">
      <c r="B49" s="114" t="s">
        <v>187</v>
      </c>
      <c r="C49" s="148">
        <f>SUM(C45:C48)</f>
        <v>0</v>
      </c>
      <c r="D49" s="148">
        <f t="shared" ref="D49:I49" si="10">SUM(D45:D48)</f>
        <v>0</v>
      </c>
      <c r="E49" s="148">
        <f t="shared" si="10"/>
        <v>1800000</v>
      </c>
      <c r="F49" s="148">
        <f t="shared" si="10"/>
        <v>89540.44</v>
      </c>
      <c r="G49" s="148">
        <f t="shared" si="10"/>
        <v>0</v>
      </c>
      <c r="H49" s="148">
        <f t="shared" si="10"/>
        <v>0</v>
      </c>
      <c r="I49" s="148">
        <f t="shared" si="10"/>
        <v>-1800000</v>
      </c>
      <c r="L49" s="158"/>
    </row>
    <row r="50" spans="1:12" x14ac:dyDescent="0.2">
      <c r="D50" s="119"/>
      <c r="F50" s="119"/>
      <c r="I50" s="119"/>
    </row>
    <row r="51" spans="1:12" ht="12.75" thickBot="1" x14ac:dyDescent="0.25">
      <c r="B51" s="114" t="s">
        <v>49</v>
      </c>
      <c r="C51" s="149">
        <f>+C42+C33+C24+C49</f>
        <v>441430273.28999996</v>
      </c>
      <c r="D51" s="149">
        <f t="shared" ref="D51:I51" si="11">+D42+D33+D24+D49</f>
        <v>373856241</v>
      </c>
      <c r="E51" s="149">
        <f t="shared" si="11"/>
        <v>453056033</v>
      </c>
      <c r="F51" s="149">
        <f t="shared" si="11"/>
        <v>343153924.39000005</v>
      </c>
      <c r="G51" s="149">
        <f t="shared" si="11"/>
        <v>426041679.11000007</v>
      </c>
      <c r="H51" s="149">
        <f t="shared" si="11"/>
        <v>456921757</v>
      </c>
      <c r="I51" s="149">
        <f t="shared" si="11"/>
        <v>3865724</v>
      </c>
      <c r="L51" s="121">
        <f>+L45+L42+L33+L24</f>
        <v>364653514</v>
      </c>
    </row>
    <row r="52" spans="1:12" ht="12.75" thickTop="1" x14ac:dyDescent="0.2">
      <c r="C52" s="150"/>
      <c r="D52" s="150"/>
      <c r="E52" s="150"/>
      <c r="F52" s="150"/>
      <c r="G52" s="150"/>
      <c r="H52" s="150"/>
      <c r="I52" s="150"/>
      <c r="L52" s="122"/>
    </row>
    <row r="53" spans="1:12" x14ac:dyDescent="0.2">
      <c r="C53" s="150"/>
      <c r="D53" s="150"/>
      <c r="E53" s="150"/>
      <c r="F53" s="150"/>
      <c r="G53" s="150"/>
      <c r="H53" s="150"/>
      <c r="I53" s="150"/>
      <c r="L53" s="122"/>
    </row>
    <row r="54" spans="1:12" x14ac:dyDescent="0.2">
      <c r="A54" s="140"/>
      <c r="C54" s="150"/>
      <c r="D54" s="153"/>
      <c r="E54" s="150"/>
      <c r="F54" s="153"/>
      <c r="G54" s="150"/>
      <c r="H54" s="150"/>
      <c r="I54" s="122"/>
      <c r="L54" s="122"/>
    </row>
    <row r="55" spans="1:12" ht="15" x14ac:dyDescent="0.25">
      <c r="A55" s="283" t="s">
        <v>212</v>
      </c>
      <c r="B55" s="283"/>
      <c r="C55" s="283"/>
      <c r="D55" s="283"/>
      <c r="E55" s="283"/>
      <c r="F55" s="283"/>
      <c r="G55" s="283"/>
      <c r="H55" s="283"/>
      <c r="I55" s="283"/>
      <c r="L55" s="122"/>
    </row>
    <row r="56" spans="1:12" x14ac:dyDescent="0.2">
      <c r="C56" s="150"/>
      <c r="D56" s="153"/>
      <c r="E56" s="150"/>
      <c r="F56" s="153"/>
      <c r="G56" s="150"/>
      <c r="H56" s="150"/>
      <c r="I56" s="122"/>
      <c r="L56" s="122"/>
    </row>
    <row r="83" spans="11:11" x14ac:dyDescent="0.2">
      <c r="K83" s="114" t="str">
        <f>IF(C83=0,"n/a",(+I83-C83)/C83)</f>
        <v>n/a</v>
      </c>
    </row>
    <row r="84" spans="11:11" x14ac:dyDescent="0.2">
      <c r="K84" s="174" t="str">
        <f>IF(C84=0,"n/a",(+I84-C84)/C84)</f>
        <v>n/a</v>
      </c>
    </row>
    <row r="121" spans="11:11" x14ac:dyDescent="0.2">
      <c r="K121" s="114" t="str">
        <f>IF(C121=0,"n/a",(+I121-C121)/C121)</f>
        <v>n/a</v>
      </c>
    </row>
  </sheetData>
  <mergeCells count="4">
    <mergeCell ref="I4:I6"/>
    <mergeCell ref="A1:I1"/>
    <mergeCell ref="A2:I2"/>
    <mergeCell ref="A55:I55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2"/>
  <sheetViews>
    <sheetView zoomScale="125" zoomScaleNormal="125" workbookViewId="0">
      <selection sqref="A1:M1"/>
    </sheetView>
  </sheetViews>
  <sheetFormatPr defaultRowHeight="15" x14ac:dyDescent="0.25"/>
  <cols>
    <col min="2" max="2" width="24.7109375" customWidth="1"/>
    <col min="3" max="3" width="12.5703125" style="166" customWidth="1"/>
    <col min="4" max="4" width="1.28515625" style="84" customWidth="1"/>
    <col min="5" max="5" width="10.7109375" style="84" hidden="1" customWidth="1"/>
    <col min="6" max="6" width="1.28515625" style="131" hidden="1" customWidth="1"/>
    <col min="7" max="7" width="10.42578125" style="33" hidden="1" customWidth="1"/>
    <col min="8" max="8" width="2.28515625" hidden="1" customWidth="1"/>
    <col min="9" max="9" width="12.5703125" style="84" customWidth="1"/>
    <col min="10" max="10" width="1.28515625" style="132" customWidth="1"/>
    <col min="11" max="11" width="8.7109375" bestFit="1" customWidth="1"/>
    <col min="12" max="12" width="1.28515625" style="132" customWidth="1"/>
    <col min="13" max="13" width="7" bestFit="1" customWidth="1"/>
    <col min="14" max="14" width="0" hidden="1" customWidth="1"/>
    <col min="15" max="15" width="8.7109375" style="31" hidden="1" customWidth="1"/>
  </cols>
  <sheetData>
    <row r="1" spans="1:15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O1"/>
    </row>
    <row r="2" spans="1:15" x14ac:dyDescent="0.25">
      <c r="A2" s="287" t="s">
        <v>171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O2"/>
    </row>
    <row r="3" spans="1:15" x14ac:dyDescent="0.25">
      <c r="A3" s="286" t="s">
        <v>58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O3"/>
    </row>
    <row r="5" spans="1:15" x14ac:dyDescent="0.25">
      <c r="A5" s="37"/>
      <c r="B5" s="37"/>
      <c r="C5" s="32" t="s">
        <v>171</v>
      </c>
      <c r="D5" s="32"/>
      <c r="E5" s="32">
        <v>199266287</v>
      </c>
      <c r="F5" s="41"/>
      <c r="G5" s="36"/>
      <c r="H5" s="37"/>
      <c r="I5" s="32" t="s">
        <v>171</v>
      </c>
      <c r="J5" s="134"/>
      <c r="K5" s="57" t="s">
        <v>59</v>
      </c>
      <c r="L5" s="130"/>
      <c r="M5" s="58"/>
      <c r="O5" s="57" t="s">
        <v>59</v>
      </c>
    </row>
    <row r="6" spans="1:15" x14ac:dyDescent="0.25">
      <c r="A6" s="37"/>
      <c r="B6" s="37"/>
      <c r="C6" s="178" t="s">
        <v>175</v>
      </c>
      <c r="D6" s="142"/>
      <c r="E6" s="142" t="s">
        <v>54</v>
      </c>
      <c r="F6" s="38"/>
      <c r="G6" s="36" t="s">
        <v>2</v>
      </c>
      <c r="H6" s="37"/>
      <c r="I6" s="178" t="s">
        <v>175</v>
      </c>
      <c r="J6" s="41"/>
      <c r="K6" s="57" t="s">
        <v>60</v>
      </c>
      <c r="L6" s="130"/>
      <c r="M6" s="59" t="s">
        <v>59</v>
      </c>
      <c r="O6" s="57" t="s">
        <v>60</v>
      </c>
    </row>
    <row r="7" spans="1:15" x14ac:dyDescent="0.25">
      <c r="A7" s="37"/>
      <c r="B7" s="37"/>
      <c r="C7" s="60" t="s">
        <v>189</v>
      </c>
      <c r="D7" s="41"/>
      <c r="E7" s="60" t="s">
        <v>4</v>
      </c>
      <c r="F7" s="42"/>
      <c r="G7" s="34" t="s">
        <v>4</v>
      </c>
      <c r="H7" s="61"/>
      <c r="I7" s="60" t="s">
        <v>193</v>
      </c>
      <c r="J7" s="41"/>
      <c r="K7" s="62" t="s">
        <v>61</v>
      </c>
      <c r="L7" s="130"/>
      <c r="M7" s="63" t="s">
        <v>62</v>
      </c>
      <c r="O7" s="62" t="s">
        <v>61</v>
      </c>
    </row>
    <row r="8" spans="1:15" x14ac:dyDescent="0.25">
      <c r="A8" s="50" t="s">
        <v>63</v>
      </c>
      <c r="B8" s="37"/>
      <c r="C8" s="46"/>
      <c r="D8" s="46"/>
      <c r="E8" s="46"/>
      <c r="F8" s="38"/>
      <c r="G8" s="35"/>
      <c r="H8" s="37"/>
      <c r="I8" s="46"/>
      <c r="J8" s="77"/>
      <c r="K8" s="64"/>
      <c r="L8" s="137"/>
      <c r="M8" s="65"/>
      <c r="O8" s="64"/>
    </row>
    <row r="9" spans="1:15" x14ac:dyDescent="0.25">
      <c r="A9" s="40" t="s">
        <v>64</v>
      </c>
      <c r="B9" s="37"/>
      <c r="C9" s="211">
        <v>276666429</v>
      </c>
      <c r="D9" s="212"/>
      <c r="E9" s="212">
        <f>246780789-92136-66444</f>
        <v>246622209</v>
      </c>
      <c r="F9" s="213"/>
      <c r="G9" s="214">
        <v>253094226</v>
      </c>
      <c r="H9" s="215"/>
      <c r="I9" s="211">
        <v>277212698</v>
      </c>
      <c r="J9" s="135"/>
      <c r="K9" s="52">
        <f t="shared" ref="K9:K14" si="0">(+I9-C9)/C9</f>
        <v>1.9744679611995858E-3</v>
      </c>
      <c r="L9" s="55"/>
      <c r="M9" s="49">
        <f t="shared" ref="M9:M14" si="1">+I9/I$160</f>
        <v>0.59477847178178989</v>
      </c>
      <c r="O9" s="52">
        <f t="shared" ref="O9:O14" si="2">(+I9-E9)/E9</f>
        <v>0.12403785175730057</v>
      </c>
    </row>
    <row r="10" spans="1:15" x14ac:dyDescent="0.25">
      <c r="A10" s="40" t="s">
        <v>65</v>
      </c>
      <c r="B10" s="37"/>
      <c r="C10" s="210">
        <v>1560248</v>
      </c>
      <c r="D10" s="44"/>
      <c r="E10" s="44">
        <v>1055439</v>
      </c>
      <c r="F10" s="53"/>
      <c r="G10" s="78">
        <v>1477723</v>
      </c>
      <c r="H10" s="47"/>
      <c r="I10" s="210">
        <v>1745438.28</v>
      </c>
      <c r="J10" s="170">
        <f>+I10/I$28</f>
        <v>0.64656326968476008</v>
      </c>
      <c r="K10" s="52">
        <f t="shared" si="0"/>
        <v>0.11869284882916051</v>
      </c>
      <c r="L10" s="55"/>
      <c r="M10" s="49">
        <f t="shared" si="1"/>
        <v>3.7449551202298676E-3</v>
      </c>
      <c r="O10" s="52">
        <f t="shared" si="2"/>
        <v>0.65375571681546729</v>
      </c>
    </row>
    <row r="11" spans="1:15" x14ac:dyDescent="0.25">
      <c r="A11" s="40" t="s">
        <v>66</v>
      </c>
      <c r="B11" s="37"/>
      <c r="C11" s="210">
        <v>9016449</v>
      </c>
      <c r="D11" s="44"/>
      <c r="E11" s="44">
        <v>4086945</v>
      </c>
      <c r="F11" s="53"/>
      <c r="G11" s="78">
        <v>4918610</v>
      </c>
      <c r="H11" s="47"/>
      <c r="I11" s="210">
        <v>8373533</v>
      </c>
      <c r="J11" s="170">
        <f t="shared" ref="J11:J28" si="3">+I11/I$28</f>
        <v>3.1018105523005022</v>
      </c>
      <c r="K11" s="52">
        <f t="shared" si="0"/>
        <v>-7.1304789723759324E-2</v>
      </c>
      <c r="L11" s="55"/>
      <c r="M11" s="49">
        <f t="shared" si="1"/>
        <v>1.7965977738705126E-2</v>
      </c>
      <c r="O11" s="52">
        <f t="shared" si="2"/>
        <v>1.048848956861421</v>
      </c>
    </row>
    <row r="12" spans="1:15" x14ac:dyDescent="0.25">
      <c r="A12" s="40" t="s">
        <v>67</v>
      </c>
      <c r="B12" s="37"/>
      <c r="C12" s="210">
        <v>483568</v>
      </c>
      <c r="D12" s="44"/>
      <c r="E12" s="44">
        <v>320003</v>
      </c>
      <c r="F12" s="53"/>
      <c r="G12" s="78">
        <v>453166</v>
      </c>
      <c r="H12" s="47"/>
      <c r="I12" s="210">
        <v>441596</v>
      </c>
      <c r="J12" s="170"/>
      <c r="K12" s="52">
        <f t="shared" si="0"/>
        <v>-8.6796479502365742E-2</v>
      </c>
      <c r="L12" s="55"/>
      <c r="M12" s="49">
        <f t="shared" si="1"/>
        <v>9.47473892501675E-4</v>
      </c>
      <c r="O12" s="52">
        <f t="shared" si="2"/>
        <v>0.37997456273847435</v>
      </c>
    </row>
    <row r="13" spans="1:15" x14ac:dyDescent="0.25">
      <c r="A13" s="40" t="s">
        <v>68</v>
      </c>
      <c r="B13" s="37"/>
      <c r="C13" s="209">
        <v>150</v>
      </c>
      <c r="D13" s="44"/>
      <c r="E13" s="44">
        <v>138629</v>
      </c>
      <c r="F13" s="53"/>
      <c r="G13" s="78">
        <v>0</v>
      </c>
      <c r="H13" s="47"/>
      <c r="I13" s="209">
        <v>1150</v>
      </c>
      <c r="J13" s="170">
        <f t="shared" si="3"/>
        <v>4.2599487398515981E-4</v>
      </c>
      <c r="K13" s="52">
        <f t="shared" si="0"/>
        <v>6.666666666666667</v>
      </c>
      <c r="L13" s="55"/>
      <c r="M13" s="49">
        <f t="shared" si="1"/>
        <v>2.4674022780480944E-6</v>
      </c>
      <c r="O13" s="52">
        <f t="shared" si="2"/>
        <v>-0.99170447741814483</v>
      </c>
    </row>
    <row r="14" spans="1:15" x14ac:dyDescent="0.25">
      <c r="A14" s="50" t="s">
        <v>69</v>
      </c>
      <c r="B14" s="37"/>
      <c r="C14" s="72">
        <f>SUM(C9:C13)</f>
        <v>287726844</v>
      </c>
      <c r="D14" s="45"/>
      <c r="E14" s="72">
        <f>SUM(E9:E13)</f>
        <v>252223225</v>
      </c>
      <c r="F14" s="53"/>
      <c r="G14" s="81">
        <f>SUM(G9:G13)</f>
        <v>259943725</v>
      </c>
      <c r="H14" s="216"/>
      <c r="I14" s="72">
        <f>SUM(I9:I13)</f>
        <v>287774415.27999997</v>
      </c>
      <c r="J14" s="170"/>
      <c r="K14" s="66">
        <f t="shared" si="0"/>
        <v>1.6533486878955023E-4</v>
      </c>
      <c r="L14" s="55"/>
      <c r="M14" s="67">
        <f t="shared" si="1"/>
        <v>0.61743934593550465</v>
      </c>
      <c r="O14" s="52">
        <f t="shared" si="2"/>
        <v>0.14095129534562081</v>
      </c>
    </row>
    <row r="15" spans="1:15" x14ac:dyDescent="0.25">
      <c r="A15" s="50"/>
      <c r="B15" s="37"/>
      <c r="C15" s="45"/>
      <c r="D15" s="45"/>
      <c r="E15" s="45"/>
      <c r="F15" s="53"/>
      <c r="G15" s="79"/>
      <c r="H15" s="53"/>
      <c r="I15" s="45"/>
      <c r="J15" s="170"/>
      <c r="K15" s="55"/>
      <c r="L15" s="55"/>
      <c r="M15" s="68"/>
      <c r="O15" s="55"/>
    </row>
    <row r="16" spans="1:15" x14ac:dyDescent="0.25">
      <c r="A16" s="50" t="s">
        <v>70</v>
      </c>
      <c r="B16" s="37"/>
      <c r="C16" s="71"/>
      <c r="D16" s="71"/>
      <c r="E16" s="71"/>
      <c r="F16" s="217"/>
      <c r="G16" s="80"/>
      <c r="H16" s="218"/>
      <c r="I16" s="71"/>
      <c r="J16" s="170">
        <f t="shared" si="3"/>
        <v>0</v>
      </c>
      <c r="K16" s="49"/>
      <c r="L16" s="68"/>
      <c r="M16" s="49"/>
      <c r="O16" s="49"/>
    </row>
    <row r="17" spans="1:17" x14ac:dyDescent="0.25">
      <c r="A17" s="40" t="s">
        <v>64</v>
      </c>
      <c r="B17" s="37"/>
      <c r="C17" s="44">
        <v>5776656</v>
      </c>
      <c r="D17" s="44"/>
      <c r="E17" s="44">
        <v>5103712</v>
      </c>
      <c r="F17" s="53"/>
      <c r="G17" s="78">
        <v>5166482</v>
      </c>
      <c r="H17" s="47"/>
      <c r="I17" s="44">
        <v>5760648</v>
      </c>
      <c r="J17" s="170">
        <f t="shared" si="3"/>
        <v>2.1339187120285765</v>
      </c>
      <c r="K17" s="52">
        <f>(+I17-C17)/C17</f>
        <v>-2.7711534147091326E-3</v>
      </c>
      <c r="L17" s="55"/>
      <c r="M17" s="49">
        <f>+I17/I$160</f>
        <v>1.2359857389767999E-2</v>
      </c>
      <c r="O17" s="52">
        <f>(+I17-E17)/E17</f>
        <v>0.12871729439278706</v>
      </c>
    </row>
    <row r="18" spans="1:17" x14ac:dyDescent="0.25">
      <c r="A18" s="40" t="s">
        <v>65</v>
      </c>
      <c r="B18" s="37"/>
      <c r="C18" s="44">
        <v>270184</v>
      </c>
      <c r="D18" s="44"/>
      <c r="E18" s="44">
        <v>248658</v>
      </c>
      <c r="F18" s="53"/>
      <c r="G18" s="78">
        <v>272106</v>
      </c>
      <c r="H18" s="47"/>
      <c r="I18" s="44">
        <v>273689</v>
      </c>
      <c r="J18" s="170"/>
      <c r="K18" s="52">
        <f>(+I18-C18)/C18</f>
        <v>1.2972640866964735E-2</v>
      </c>
      <c r="L18" s="55"/>
      <c r="M18" s="49">
        <f>+I18/I$160</f>
        <v>5.8721814093626518E-4</v>
      </c>
      <c r="O18" s="52">
        <f>(+I18-E18)/E18</f>
        <v>0.10066436631839716</v>
      </c>
    </row>
    <row r="19" spans="1:17" x14ac:dyDescent="0.25">
      <c r="A19" s="40" t="s">
        <v>66</v>
      </c>
      <c r="B19" s="37"/>
      <c r="C19" s="44">
        <v>400737</v>
      </c>
      <c r="D19" s="44"/>
      <c r="E19" s="44">
        <v>390229</v>
      </c>
      <c r="F19" s="53"/>
      <c r="G19" s="78">
        <v>392090</v>
      </c>
      <c r="H19" s="47"/>
      <c r="I19" s="44">
        <v>403176</v>
      </c>
      <c r="J19" s="170">
        <f t="shared" si="3"/>
        <v>0.14934861679464417</v>
      </c>
      <c r="K19" s="52">
        <f>(+I19-C19)/C19</f>
        <v>6.0862860180118132E-3</v>
      </c>
      <c r="L19" s="55"/>
      <c r="M19" s="49">
        <f>+I19/I$160</f>
        <v>8.6504120074288563E-4</v>
      </c>
      <c r="O19" s="52">
        <f>(+I19-E19)/E19</f>
        <v>3.3177954483136825E-2</v>
      </c>
    </row>
    <row r="20" spans="1:17" x14ac:dyDescent="0.25">
      <c r="A20" s="40" t="s">
        <v>67</v>
      </c>
      <c r="B20" s="37"/>
      <c r="C20" s="44">
        <v>4205</v>
      </c>
      <c r="D20" s="44"/>
      <c r="E20" s="44">
        <v>6259</v>
      </c>
      <c r="F20" s="53"/>
      <c r="G20" s="78">
        <v>4848</v>
      </c>
      <c r="H20" s="47"/>
      <c r="I20" s="44">
        <v>3520</v>
      </c>
      <c r="J20" s="170"/>
      <c r="K20" s="52">
        <f>(+I20-C20)/C20</f>
        <v>-0.16290130796670629</v>
      </c>
      <c r="L20" s="55"/>
      <c r="M20" s="49">
        <f>+I20/I$160</f>
        <v>7.5523965380254718E-6</v>
      </c>
      <c r="O20" s="52">
        <f>(+I20-E20)/E20</f>
        <v>-0.43760984182776802</v>
      </c>
    </row>
    <row r="21" spans="1:17" x14ac:dyDescent="0.25">
      <c r="A21" s="50" t="s">
        <v>71</v>
      </c>
      <c r="B21" s="37"/>
      <c r="C21" s="72">
        <f>SUM(C17:C20)</f>
        <v>6451782</v>
      </c>
      <c r="D21" s="45"/>
      <c r="E21" s="72">
        <f>SUM(E17:E20)</f>
        <v>5748858</v>
      </c>
      <c r="F21" s="53"/>
      <c r="G21" s="81">
        <f>SUM(G17:G20)</f>
        <v>5835526</v>
      </c>
      <c r="H21" s="216"/>
      <c r="I21" s="72">
        <f>SUM(I17:I20)</f>
        <v>6441033</v>
      </c>
      <c r="J21" s="170"/>
      <c r="K21" s="66">
        <f>(+I21-C21)/C21</f>
        <v>-1.6660513327945675E-3</v>
      </c>
      <c r="L21" s="55"/>
      <c r="M21" s="67">
        <f>+I21/I$160</f>
        <v>1.3819669127985176E-2</v>
      </c>
      <c r="O21" s="52">
        <f>(+I21-E21)/E21</f>
        <v>0.12040217378825499</v>
      </c>
    </row>
    <row r="22" spans="1:17" x14ac:dyDescent="0.25">
      <c r="A22" s="50"/>
      <c r="B22" s="37"/>
      <c r="C22" s="45"/>
      <c r="D22" s="45"/>
      <c r="E22" s="45"/>
      <c r="F22" s="53"/>
      <c r="G22" s="79"/>
      <c r="H22" s="53"/>
      <c r="I22" s="45"/>
      <c r="J22" s="170">
        <f t="shared" si="3"/>
        <v>0</v>
      </c>
      <c r="K22" s="55"/>
      <c r="L22" s="55"/>
      <c r="M22" s="68"/>
      <c r="O22" s="55"/>
    </row>
    <row r="23" spans="1:17" x14ac:dyDescent="0.25">
      <c r="A23" s="50" t="s">
        <v>72</v>
      </c>
      <c r="B23" s="37"/>
      <c r="C23" s="71"/>
      <c r="D23" s="71"/>
      <c r="E23" s="71"/>
      <c r="F23" s="217"/>
      <c r="G23" s="80"/>
      <c r="H23" s="218"/>
      <c r="I23" s="71"/>
      <c r="J23" s="170">
        <f t="shared" si="3"/>
        <v>0</v>
      </c>
      <c r="K23" s="49"/>
      <c r="L23" s="68"/>
      <c r="M23" s="49"/>
      <c r="O23" s="49"/>
    </row>
    <row r="24" spans="1:17" x14ac:dyDescent="0.25">
      <c r="A24" s="40" t="s">
        <v>64</v>
      </c>
      <c r="B24" s="37"/>
      <c r="C24" s="44">
        <v>1590460</v>
      </c>
      <c r="D24" s="44"/>
      <c r="E24" s="44">
        <v>3519686</v>
      </c>
      <c r="F24" s="53"/>
      <c r="G24" s="78">
        <v>3319133</v>
      </c>
      <c r="H24" s="47"/>
      <c r="I24" s="44">
        <v>1545744</v>
      </c>
      <c r="J24" s="170">
        <f t="shared" si="3"/>
        <v>0.57259045260288421</v>
      </c>
      <c r="K24" s="52">
        <f>(+I24-C24)/C24</f>
        <v>-2.8115136501389536E-2</v>
      </c>
      <c r="L24" s="55"/>
      <c r="M24" s="49">
        <f>+I24/I$160</f>
        <v>3.3164976233731945E-3</v>
      </c>
      <c r="O24" s="52">
        <f>(+I24-E24)/E24</f>
        <v>-0.56082900576926464</v>
      </c>
      <c r="Q24" s="31"/>
    </row>
    <row r="25" spans="1:17" x14ac:dyDescent="0.25">
      <c r="A25" s="40" t="s">
        <v>65</v>
      </c>
      <c r="B25" s="37"/>
      <c r="C25" s="44">
        <v>470182</v>
      </c>
      <c r="D25" s="44"/>
      <c r="E25" s="44">
        <v>70623</v>
      </c>
      <c r="F25" s="53"/>
      <c r="G25" s="78">
        <v>169523</v>
      </c>
      <c r="H25" s="47"/>
      <c r="I25" s="44">
        <v>465333</v>
      </c>
      <c r="J25" s="170"/>
      <c r="K25" s="52">
        <f>(+I25-C25)/C25</f>
        <v>-1.0313027721180309E-2</v>
      </c>
      <c r="L25" s="55"/>
      <c r="M25" s="49">
        <f>+I25/I$160</f>
        <v>9.9840322108778602E-4</v>
      </c>
      <c r="O25" s="52">
        <f>(+I25-E25)/E25</f>
        <v>5.5889724310776945</v>
      </c>
    </row>
    <row r="26" spans="1:17" x14ac:dyDescent="0.25">
      <c r="A26" s="40" t="s">
        <v>66</v>
      </c>
      <c r="B26" s="37"/>
      <c r="C26" s="44">
        <v>221616</v>
      </c>
      <c r="D26" s="44"/>
      <c r="E26" s="44">
        <v>134272</v>
      </c>
      <c r="F26" s="53"/>
      <c r="G26" s="78">
        <v>446363</v>
      </c>
      <c r="H26" s="47"/>
      <c r="I26" s="44">
        <v>279128</v>
      </c>
      <c r="J26" s="170">
        <f t="shared" si="3"/>
        <v>0.10339747581367799</v>
      </c>
      <c r="K26" s="52">
        <f>(+I26-C26)/C26</f>
        <v>0.25951194859576926</v>
      </c>
      <c r="L26" s="55"/>
      <c r="M26" s="49">
        <f>+I26/I$160</f>
        <v>5.9888788092783349E-4</v>
      </c>
      <c r="O26" s="52">
        <f>(+I26-E26)/E26</f>
        <v>1.0788250714966634</v>
      </c>
    </row>
    <row r="27" spans="1:17" x14ac:dyDescent="0.25">
      <c r="A27" s="40" t="s">
        <v>67</v>
      </c>
      <c r="B27" s="37"/>
      <c r="C27" s="44">
        <v>424076</v>
      </c>
      <c r="D27" s="44"/>
      <c r="E27" s="44">
        <v>228318</v>
      </c>
      <c r="F27" s="53"/>
      <c r="G27" s="78">
        <v>318140</v>
      </c>
      <c r="H27" s="47"/>
      <c r="I27" s="44">
        <v>409358</v>
      </c>
      <c r="J27" s="170"/>
      <c r="K27" s="52">
        <f>(+I27-C27)/C27</f>
        <v>-3.4706043256397437E-2</v>
      </c>
      <c r="L27" s="55"/>
      <c r="M27" s="49">
        <f>+I27/I$160</f>
        <v>8.7830509716279291E-4</v>
      </c>
      <c r="O27" s="52">
        <f>(+I27-E27)/E27</f>
        <v>0.79292916020637882</v>
      </c>
    </row>
    <row r="28" spans="1:17" x14ac:dyDescent="0.25">
      <c r="A28" s="50" t="s">
        <v>73</v>
      </c>
      <c r="B28" s="37"/>
      <c r="C28" s="72">
        <f>SUM(C24:C27)</f>
        <v>2706334</v>
      </c>
      <c r="D28" s="45"/>
      <c r="E28" s="72">
        <f>SUM(E24:E27)</f>
        <v>3952899</v>
      </c>
      <c r="F28" s="53"/>
      <c r="G28" s="81">
        <f>SUM(G24:G27)</f>
        <v>4253159</v>
      </c>
      <c r="H28" s="216"/>
      <c r="I28" s="72">
        <f>SUM(I24:I27)</f>
        <v>2699563</v>
      </c>
      <c r="J28" s="170">
        <f t="shared" si="3"/>
        <v>1</v>
      </c>
      <c r="K28" s="66">
        <f>(+I28-C28)/C28</f>
        <v>-2.5019084857966535E-3</v>
      </c>
      <c r="L28" s="55"/>
      <c r="M28" s="67">
        <f>+I28/I$160</f>
        <v>5.7920938225516066E-3</v>
      </c>
      <c r="O28" s="52">
        <f>(+I28-E28)/E28</f>
        <v>-0.31706754966418316</v>
      </c>
    </row>
    <row r="29" spans="1:17" x14ac:dyDescent="0.25">
      <c r="A29" s="50"/>
      <c r="B29" s="37"/>
      <c r="C29" s="45"/>
      <c r="D29" s="45"/>
      <c r="E29" s="45"/>
      <c r="F29" s="53"/>
      <c r="G29" s="79"/>
      <c r="H29" s="53"/>
      <c r="I29" s="45"/>
      <c r="J29" s="170"/>
      <c r="K29" s="55"/>
      <c r="L29" s="55"/>
      <c r="M29" s="68"/>
      <c r="O29" s="55"/>
    </row>
    <row r="30" spans="1:17" x14ac:dyDescent="0.25">
      <c r="A30" s="50" t="s">
        <v>74</v>
      </c>
      <c r="B30" s="37"/>
      <c r="C30" s="71"/>
      <c r="D30" s="71"/>
      <c r="E30" s="71"/>
      <c r="F30" s="217"/>
      <c r="G30" s="80"/>
      <c r="H30" s="218"/>
      <c r="I30" s="71"/>
      <c r="J30" s="170"/>
      <c r="K30" s="52"/>
      <c r="L30" s="55"/>
      <c r="M30" s="49"/>
      <c r="O30" s="52"/>
    </row>
    <row r="31" spans="1:17" x14ac:dyDescent="0.25">
      <c r="A31" s="40" t="s">
        <v>64</v>
      </c>
      <c r="B31" s="37"/>
      <c r="C31" s="44">
        <v>8723913</v>
      </c>
      <c r="D31" s="44"/>
      <c r="E31" s="44">
        <f>7188648-154548-658293</f>
        <v>6375807</v>
      </c>
      <c r="F31" s="53"/>
      <c r="G31" s="78">
        <v>6362268</v>
      </c>
      <c r="H31" s="47"/>
      <c r="I31" s="44">
        <v>9165745</v>
      </c>
      <c r="J31" s="170"/>
      <c r="K31" s="52">
        <f>(+I31-C31)/C31</f>
        <v>5.0646080491632599E-2</v>
      </c>
      <c r="L31" s="55"/>
      <c r="M31" s="49">
        <f>+I31/I$160</f>
        <v>1.9665721820006896E-2</v>
      </c>
      <c r="O31" s="52">
        <f>(+I31-E31)/E31</f>
        <v>0.43758194060767525</v>
      </c>
    </row>
    <row r="32" spans="1:17" x14ac:dyDescent="0.25">
      <c r="A32" s="40" t="s">
        <v>65</v>
      </c>
      <c r="B32" s="37"/>
      <c r="C32" s="44">
        <v>334422</v>
      </c>
      <c r="D32" s="44"/>
      <c r="E32" s="44">
        <v>387289</v>
      </c>
      <c r="F32" s="53"/>
      <c r="G32" s="78">
        <v>169201</v>
      </c>
      <c r="H32" s="47"/>
      <c r="I32" s="44">
        <v>336765</v>
      </c>
      <c r="J32" s="170"/>
      <c r="K32" s="52">
        <f>(+I32-C32)/C32</f>
        <v>7.0061180185514108E-3</v>
      </c>
      <c r="L32" s="55"/>
      <c r="M32" s="49">
        <f>+I32/I$160</f>
        <v>7.225519375364057E-4</v>
      </c>
      <c r="O32" s="52">
        <f>(+I32-E32)/E32</f>
        <v>-0.13045555128082648</v>
      </c>
    </row>
    <row r="33" spans="1:15" x14ac:dyDescent="0.25">
      <c r="A33" s="40" t="s">
        <v>66</v>
      </c>
      <c r="B33" s="37"/>
      <c r="C33" s="44">
        <v>200293</v>
      </c>
      <c r="D33" s="44"/>
      <c r="E33" s="44">
        <v>191801</v>
      </c>
      <c r="F33" s="53"/>
      <c r="G33" s="78">
        <v>227287</v>
      </c>
      <c r="H33" s="47"/>
      <c r="I33" s="44">
        <v>221906</v>
      </c>
      <c r="J33" s="170"/>
      <c r="K33" s="52">
        <f>(+I33-C33)/C33</f>
        <v>0.10790691636752157</v>
      </c>
      <c r="L33" s="55"/>
      <c r="M33" s="49">
        <f>+I33/I$160</f>
        <v>4.761142347065569E-4</v>
      </c>
      <c r="O33" s="52">
        <f>(+I33-E33)/E33</f>
        <v>0.15695955704089135</v>
      </c>
    </row>
    <row r="34" spans="1:15" x14ac:dyDescent="0.25">
      <c r="A34" s="40" t="s">
        <v>67</v>
      </c>
      <c r="B34" s="37"/>
      <c r="C34" s="44">
        <v>176438</v>
      </c>
      <c r="D34" s="44"/>
      <c r="E34" s="44">
        <v>144909</v>
      </c>
      <c r="F34" s="53"/>
      <c r="G34" s="78">
        <v>148698</v>
      </c>
      <c r="H34" s="47"/>
      <c r="I34" s="44">
        <v>175952</v>
      </c>
      <c r="J34" s="170"/>
      <c r="K34" s="52">
        <f>(+I34-C34)/C34</f>
        <v>-2.7545086659336426E-3</v>
      </c>
      <c r="L34" s="55"/>
      <c r="M34" s="49">
        <f>+I34/I$160</f>
        <v>3.7751683967575503E-4</v>
      </c>
      <c r="O34" s="52">
        <f>(+I34-E34)/E34</f>
        <v>0.21422409926229566</v>
      </c>
    </row>
    <row r="35" spans="1:15" x14ac:dyDescent="0.25">
      <c r="A35" s="43" t="s">
        <v>75</v>
      </c>
      <c r="B35" s="42"/>
      <c r="C35" s="72">
        <f>SUM(C31:C34)</f>
        <v>9435066</v>
      </c>
      <c r="D35" s="45"/>
      <c r="E35" s="72">
        <f>SUM(E31:E34)</f>
        <v>7099806</v>
      </c>
      <c r="F35" s="53"/>
      <c r="G35" s="81">
        <f>SUM(G31:G34)</f>
        <v>6907454</v>
      </c>
      <c r="H35" s="216"/>
      <c r="I35" s="72">
        <f>SUM(I31:I34)</f>
        <v>9900368</v>
      </c>
      <c r="J35" s="170"/>
      <c r="K35" s="66">
        <f>(+I35-C35)/C35</f>
        <v>4.9316242196927929E-2</v>
      </c>
      <c r="L35" s="55"/>
      <c r="M35" s="67">
        <f>+I35/I$160</f>
        <v>2.1241904831925614E-2</v>
      </c>
      <c r="O35" s="52">
        <f>(+I35-E35)/E35</f>
        <v>0.39445613020975501</v>
      </c>
    </row>
    <row r="36" spans="1:15" x14ac:dyDescent="0.25">
      <c r="A36" s="43"/>
      <c r="B36" s="42"/>
      <c r="C36" s="45"/>
      <c r="D36" s="45"/>
      <c r="E36" s="45"/>
      <c r="F36" s="53"/>
      <c r="G36" s="79"/>
      <c r="H36" s="53"/>
      <c r="I36" s="45"/>
      <c r="J36" s="170"/>
      <c r="K36" s="55"/>
      <c r="L36" s="55"/>
      <c r="M36" s="68"/>
      <c r="O36" s="55"/>
    </row>
    <row r="37" spans="1:15" x14ac:dyDescent="0.25">
      <c r="A37" s="50" t="s">
        <v>76</v>
      </c>
      <c r="B37" s="37"/>
      <c r="C37" s="219"/>
      <c r="D37" s="219"/>
      <c r="E37" s="219"/>
      <c r="F37" s="217"/>
      <c r="G37" s="220"/>
      <c r="H37" s="218"/>
      <c r="I37" s="219"/>
      <c r="J37" s="170"/>
      <c r="K37" s="52"/>
      <c r="L37" s="55"/>
      <c r="M37" s="49"/>
      <c r="O37" s="52"/>
    </row>
    <row r="38" spans="1:15" x14ac:dyDescent="0.25">
      <c r="A38" s="40" t="s">
        <v>64</v>
      </c>
      <c r="B38" s="37"/>
      <c r="C38" s="47">
        <v>29174557</v>
      </c>
      <c r="D38" s="47"/>
      <c r="E38" s="47">
        <f>24501668-154048-120137</f>
        <v>24227483</v>
      </c>
      <c r="F38" s="217"/>
      <c r="G38" s="83">
        <v>25433800</v>
      </c>
      <c r="H38" s="218"/>
      <c r="I38" s="47">
        <v>29782531</v>
      </c>
      <c r="J38" s="54"/>
      <c r="K38" s="52">
        <f>(+I38-C38)/C38</f>
        <v>2.0839185321648586E-2</v>
      </c>
      <c r="L38" s="55"/>
      <c r="M38" s="49">
        <f>+I38/I$160</f>
        <v>6.3900421596033041E-2</v>
      </c>
      <c r="O38" s="52">
        <f>(+I38-E38)/E38</f>
        <v>0.22928704562500363</v>
      </c>
    </row>
    <row r="39" spans="1:15" x14ac:dyDescent="0.25">
      <c r="A39" s="40" t="s">
        <v>65</v>
      </c>
      <c r="B39" s="37"/>
      <c r="C39" s="47">
        <v>109184</v>
      </c>
      <c r="D39" s="47"/>
      <c r="E39" s="47">
        <v>106888</v>
      </c>
      <c r="F39" s="217"/>
      <c r="G39" s="83">
        <v>143958</v>
      </c>
      <c r="H39" s="218"/>
      <c r="I39" s="47">
        <v>132382</v>
      </c>
      <c r="J39" s="54"/>
      <c r="K39" s="52">
        <f>(+I39-C39)/C39</f>
        <v>0.21246702813599061</v>
      </c>
      <c r="L39" s="55"/>
      <c r="M39" s="49">
        <f>+I39/I$160</f>
        <v>2.8403447684570681E-4</v>
      </c>
      <c r="O39" s="52">
        <f>(+I39-E39)/E39</f>
        <v>0.23851133897163385</v>
      </c>
    </row>
    <row r="40" spans="1:15" x14ac:dyDescent="0.25">
      <c r="A40" s="40" t="s">
        <v>66</v>
      </c>
      <c r="B40" s="37"/>
      <c r="C40" s="47">
        <v>278824</v>
      </c>
      <c r="D40" s="47"/>
      <c r="E40" s="47">
        <v>249080</v>
      </c>
      <c r="F40" s="217"/>
      <c r="G40" s="83">
        <v>214889</v>
      </c>
      <c r="H40" s="218"/>
      <c r="I40" s="47">
        <v>247712</v>
      </c>
      <c r="J40" s="54"/>
      <c r="K40" s="52">
        <f>(+I40-C40)/C40</f>
        <v>-0.11158293403724213</v>
      </c>
      <c r="L40" s="55"/>
      <c r="M40" s="49">
        <f>+I40/I$160</f>
        <v>5.3148274182595614E-4</v>
      </c>
      <c r="O40" s="52">
        <f>(+I40-E40)/E40</f>
        <v>-5.4922113377228196E-3</v>
      </c>
    </row>
    <row r="41" spans="1:15" x14ac:dyDescent="0.25">
      <c r="A41" s="40" t="s">
        <v>67</v>
      </c>
      <c r="B41" s="37"/>
      <c r="C41" s="47">
        <v>206910</v>
      </c>
      <c r="D41" s="47"/>
      <c r="E41" s="47">
        <v>121608</v>
      </c>
      <c r="F41" s="217"/>
      <c r="G41" s="83">
        <v>178267</v>
      </c>
      <c r="H41" s="218"/>
      <c r="I41" s="47">
        <v>188644</v>
      </c>
      <c r="J41" s="54"/>
      <c r="K41" s="52">
        <f>(+I41-C41)/C41</f>
        <v>-8.8279928471316035E-2</v>
      </c>
      <c r="L41" s="55"/>
      <c r="M41" s="49">
        <f>+I41/I$160</f>
        <v>4.0474837855661278E-4</v>
      </c>
      <c r="O41" s="52">
        <f>(+I41-E41)/E41</f>
        <v>0.55124662851128214</v>
      </c>
    </row>
    <row r="42" spans="1:15" x14ac:dyDescent="0.25">
      <c r="A42" s="43" t="s">
        <v>77</v>
      </c>
      <c r="B42" s="42"/>
      <c r="C42" s="216">
        <f>SUM(C38:C41)</f>
        <v>29769475</v>
      </c>
      <c r="D42" s="53"/>
      <c r="E42" s="216">
        <f>SUM(E38:E41)</f>
        <v>24705059</v>
      </c>
      <c r="F42" s="53"/>
      <c r="G42" s="221">
        <f>SUM(G38:G41)</f>
        <v>25970914</v>
      </c>
      <c r="H42" s="216"/>
      <c r="I42" s="216">
        <f>SUM(I38:I41)</f>
        <v>30351269</v>
      </c>
      <c r="J42" s="54"/>
      <c r="K42" s="66">
        <f>(+I42-C42)/C42</f>
        <v>1.9543307364338808E-2</v>
      </c>
      <c r="L42" s="55"/>
      <c r="M42" s="67">
        <f>+I42/I$160</f>
        <v>6.5120687193261306E-2</v>
      </c>
      <c r="O42" s="52">
        <f>(+I42-E42)/E42</f>
        <v>0.22854468795237445</v>
      </c>
    </row>
    <row r="43" spans="1:15" x14ac:dyDescent="0.25">
      <c r="A43" s="43"/>
      <c r="B43" s="42"/>
      <c r="C43" s="53"/>
      <c r="D43" s="53"/>
      <c r="E43" s="53"/>
      <c r="F43" s="53"/>
      <c r="G43" s="222"/>
      <c r="H43" s="53"/>
      <c r="I43" s="53"/>
      <c r="J43" s="54"/>
      <c r="K43" s="55"/>
      <c r="L43" s="55"/>
      <c r="M43" s="68"/>
      <c r="O43" s="55"/>
    </row>
    <row r="44" spans="1:15" x14ac:dyDescent="0.25">
      <c r="A44" s="50" t="s">
        <v>78</v>
      </c>
      <c r="B44" s="37"/>
      <c r="C44" s="71"/>
      <c r="D44" s="71"/>
      <c r="E44" s="71"/>
      <c r="F44" s="82"/>
      <c r="G44" s="80"/>
      <c r="H44" s="71"/>
      <c r="I44" s="71"/>
      <c r="J44" s="77"/>
      <c r="K44" s="69"/>
      <c r="L44" s="138"/>
      <c r="M44" s="70"/>
      <c r="O44" s="69"/>
    </row>
    <row r="45" spans="1:15" x14ac:dyDescent="0.25">
      <c r="A45" s="40" t="s">
        <v>64</v>
      </c>
      <c r="B45" s="37"/>
      <c r="C45" s="44">
        <v>19477117</v>
      </c>
      <c r="D45" s="44"/>
      <c r="E45" s="44">
        <f>17481354-58428-19789</f>
        <v>17403137</v>
      </c>
      <c r="F45" s="82"/>
      <c r="G45" s="78">
        <v>17706618</v>
      </c>
      <c r="H45" s="71"/>
      <c r="I45" s="44">
        <v>20058337</v>
      </c>
      <c r="J45" s="48"/>
      <c r="K45" s="52">
        <f>(+I45-C45)/C45</f>
        <v>2.9841172079009434E-2</v>
      </c>
      <c r="L45" s="55"/>
      <c r="M45" s="49">
        <f>+I45/I$160</f>
        <v>4.3036509919701198E-2</v>
      </c>
      <c r="O45" s="52">
        <f>(+I45-E45)/E45</f>
        <v>0.15257019467237429</v>
      </c>
    </row>
    <row r="46" spans="1:15" x14ac:dyDescent="0.25">
      <c r="A46" s="40" t="s">
        <v>65</v>
      </c>
      <c r="B46" s="37"/>
      <c r="C46" s="44">
        <v>82797</v>
      </c>
      <c r="D46" s="44"/>
      <c r="E46" s="44">
        <v>20863</v>
      </c>
      <c r="F46" s="82"/>
      <c r="G46" s="78">
        <v>206398</v>
      </c>
      <c r="H46" s="71"/>
      <c r="I46" s="44">
        <v>91969</v>
      </c>
      <c r="J46" s="48"/>
      <c r="K46" s="52">
        <f>(+I46-C46)/C46</f>
        <v>0.11077696051789317</v>
      </c>
      <c r="L46" s="55"/>
      <c r="M46" s="49">
        <f>+I46/I$160</f>
        <v>1.9732566966070017E-4</v>
      </c>
      <c r="O46" s="52">
        <f>(+I46-E46)/E46</f>
        <v>3.4082346738244738</v>
      </c>
    </row>
    <row r="47" spans="1:15" x14ac:dyDescent="0.25">
      <c r="A47" s="40" t="s">
        <v>79</v>
      </c>
      <c r="B47" s="37"/>
      <c r="C47" s="44">
        <v>469139</v>
      </c>
      <c r="D47" s="44"/>
      <c r="E47" s="44">
        <v>155323</v>
      </c>
      <c r="F47" s="82"/>
      <c r="G47" s="78">
        <v>244220</v>
      </c>
      <c r="H47" s="71"/>
      <c r="I47" s="44">
        <v>550018</v>
      </c>
      <c r="J47" s="48"/>
      <c r="K47" s="52">
        <f>(+I47-C47)/C47</f>
        <v>0.17239879865029342</v>
      </c>
      <c r="L47" s="55"/>
      <c r="M47" s="49">
        <f>+I47/I$160</f>
        <v>1.1801005792760493E-3</v>
      </c>
      <c r="O47" s="52">
        <f>(+I47-E47)/E47</f>
        <v>2.541123980350624</v>
      </c>
    </row>
    <row r="48" spans="1:15" x14ac:dyDescent="0.25">
      <c r="A48" s="40" t="s">
        <v>67</v>
      </c>
      <c r="B48" s="37"/>
      <c r="C48" s="44">
        <v>31963</v>
      </c>
      <c r="D48" s="44"/>
      <c r="E48" s="44">
        <v>26913</v>
      </c>
      <c r="F48" s="82"/>
      <c r="G48" s="78">
        <v>40948</v>
      </c>
      <c r="H48" s="71"/>
      <c r="I48" s="44">
        <v>51105</v>
      </c>
      <c r="J48" s="48"/>
      <c r="K48" s="52">
        <f>(+I48-C48)/C48</f>
        <v>0.59887995494790847</v>
      </c>
      <c r="L48" s="55"/>
      <c r="M48" s="49">
        <f>+I48/I$160</f>
        <v>1.0964921166925902E-4</v>
      </c>
      <c r="O48" s="52">
        <f>(+I48-E48)/E48</f>
        <v>0.89889644409764802</v>
      </c>
    </row>
    <row r="49" spans="1:15" x14ac:dyDescent="0.25">
      <c r="A49" s="50" t="s">
        <v>80</v>
      </c>
      <c r="B49" s="37"/>
      <c r="C49" s="72">
        <f>SUM(C45:C48)</f>
        <v>20061016</v>
      </c>
      <c r="D49" s="45"/>
      <c r="E49" s="72">
        <f>SUM(E45:E48)</f>
        <v>17606236</v>
      </c>
      <c r="F49" s="82"/>
      <c r="G49" s="81">
        <f>SUM(G45:G48)</f>
        <v>18198184</v>
      </c>
      <c r="H49" s="73"/>
      <c r="I49" s="72">
        <f>SUM(I45:I48)</f>
        <v>20751429</v>
      </c>
      <c r="J49" s="48"/>
      <c r="K49" s="66">
        <f>(+I49-C49)/C49</f>
        <v>3.4415654720578462E-2</v>
      </c>
      <c r="L49" s="55"/>
      <c r="M49" s="67">
        <f>+I49/I$160</f>
        <v>4.4523585380307207E-2</v>
      </c>
      <c r="O49" s="52">
        <f>(+I49-E49)/E49</f>
        <v>0.17864085202538466</v>
      </c>
    </row>
    <row r="50" spans="1:15" s="166" customFormat="1" x14ac:dyDescent="0.25">
      <c r="A50" s="50"/>
      <c r="B50" s="37"/>
      <c r="C50" s="45"/>
      <c r="D50" s="45"/>
      <c r="E50" s="45"/>
      <c r="F50" s="82"/>
      <c r="G50" s="79"/>
      <c r="H50" s="82"/>
      <c r="I50" s="45"/>
      <c r="J50" s="48"/>
      <c r="K50" s="55"/>
      <c r="L50" s="55"/>
      <c r="M50" s="68"/>
      <c r="O50" s="52"/>
    </row>
    <row r="51" spans="1:15" s="31" customFormat="1" x14ac:dyDescent="0.25">
      <c r="A51" s="283" t="s">
        <v>213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O51" s="55"/>
    </row>
    <row r="52" spans="1:15" x14ac:dyDescent="0.25">
      <c r="A52" s="287" t="s">
        <v>0</v>
      </c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O52"/>
    </row>
    <row r="53" spans="1:15" x14ac:dyDescent="0.25">
      <c r="A53" s="287" t="str">
        <f>+A2</f>
        <v>General Fund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O53"/>
    </row>
    <row r="54" spans="1:15" x14ac:dyDescent="0.25">
      <c r="A54" s="286" t="s">
        <v>58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O54"/>
    </row>
    <row r="55" spans="1:15" x14ac:dyDescent="0.25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O55"/>
    </row>
    <row r="56" spans="1:15" x14ac:dyDescent="0.25">
      <c r="A56" s="37"/>
      <c r="B56" s="37"/>
      <c r="C56" s="32" t="str">
        <f>+C5</f>
        <v>General Fund</v>
      </c>
      <c r="D56" s="32"/>
      <c r="E56" s="32">
        <f>+E5</f>
        <v>199266287</v>
      </c>
      <c r="F56" s="41"/>
      <c r="G56" s="36"/>
      <c r="H56" s="37"/>
      <c r="I56" s="32" t="str">
        <f>+I5</f>
        <v>General Fund</v>
      </c>
      <c r="J56" s="134"/>
      <c r="K56" s="57" t="s">
        <v>59</v>
      </c>
      <c r="L56" s="130"/>
      <c r="M56" s="58"/>
      <c r="O56" s="57" t="s">
        <v>59</v>
      </c>
    </row>
    <row r="57" spans="1:15" x14ac:dyDescent="0.25">
      <c r="A57" s="37"/>
      <c r="B57" s="37"/>
      <c r="C57" s="32" t="str">
        <f>+C6</f>
        <v>Adopted Budget</v>
      </c>
      <c r="D57" s="142"/>
      <c r="E57" s="32" t="str">
        <f>+E6</f>
        <v>Projected</v>
      </c>
      <c r="F57" s="38"/>
      <c r="G57" s="36" t="s">
        <v>2</v>
      </c>
      <c r="H57" s="37"/>
      <c r="I57" s="32" t="str">
        <f>+I6</f>
        <v>Adopted Budget</v>
      </c>
      <c r="J57" s="41"/>
      <c r="K57" s="57" t="s">
        <v>60</v>
      </c>
      <c r="L57" s="130"/>
      <c r="M57" s="59" t="s">
        <v>59</v>
      </c>
      <c r="O57" s="57" t="s">
        <v>60</v>
      </c>
    </row>
    <row r="58" spans="1:15" x14ac:dyDescent="0.25">
      <c r="A58" s="37"/>
      <c r="B58" s="37"/>
      <c r="C58" s="143" t="str">
        <f>+C7</f>
        <v>2016-17</v>
      </c>
      <c r="D58" s="41"/>
      <c r="E58" s="143" t="str">
        <f>+E7</f>
        <v>2010-11</v>
      </c>
      <c r="F58" s="42"/>
      <c r="G58" s="34" t="s">
        <v>4</v>
      </c>
      <c r="H58" s="61"/>
      <c r="I58" s="143" t="str">
        <f>+I7</f>
        <v>2017-18</v>
      </c>
      <c r="J58" s="41"/>
      <c r="K58" s="62" t="s">
        <v>61</v>
      </c>
      <c r="L58" s="130"/>
      <c r="M58" s="63" t="s">
        <v>62</v>
      </c>
      <c r="O58" s="62" t="s">
        <v>61</v>
      </c>
    </row>
    <row r="59" spans="1:15" x14ac:dyDescent="0.25">
      <c r="A59" s="50" t="s">
        <v>81</v>
      </c>
      <c r="B59" s="37"/>
      <c r="C59" s="46"/>
      <c r="D59" s="46"/>
      <c r="E59" s="46"/>
      <c r="F59" s="77"/>
      <c r="G59" s="35"/>
      <c r="H59" s="46"/>
      <c r="I59" s="46"/>
      <c r="J59" s="77"/>
      <c r="K59" s="52"/>
      <c r="L59" s="55"/>
      <c r="M59" s="49"/>
      <c r="O59" s="52"/>
    </row>
    <row r="60" spans="1:15" x14ac:dyDescent="0.25">
      <c r="A60" s="40" t="s">
        <v>64</v>
      </c>
      <c r="B60" s="37"/>
      <c r="C60" s="212">
        <v>99384</v>
      </c>
      <c r="D60" s="212"/>
      <c r="E60" s="212">
        <v>89348</v>
      </c>
      <c r="F60" s="223"/>
      <c r="G60" s="214">
        <v>98877</v>
      </c>
      <c r="H60" s="224"/>
      <c r="I60" s="212">
        <v>98519</v>
      </c>
      <c r="J60" s="45"/>
      <c r="K60" s="52">
        <f>(+I60-C60)/C60</f>
        <v>-8.7036142638654106E-3</v>
      </c>
      <c r="L60" s="55"/>
      <c r="M60" s="49">
        <f>+I60/I$160</f>
        <v>2.1137913480958281E-4</v>
      </c>
      <c r="O60" s="52">
        <f>(+I60-E60)/E60</f>
        <v>0.1026435958275507</v>
      </c>
    </row>
    <row r="61" spans="1:15" s="166" customFormat="1" x14ac:dyDescent="0.25">
      <c r="A61" s="40" t="s">
        <v>79</v>
      </c>
      <c r="B61" s="37"/>
      <c r="C61" s="44">
        <v>3000</v>
      </c>
      <c r="D61" s="44"/>
      <c r="E61" s="44"/>
      <c r="F61" s="82"/>
      <c r="G61" s="78"/>
      <c r="H61" s="71"/>
      <c r="I61" s="44">
        <v>3000</v>
      </c>
      <c r="J61" s="45"/>
      <c r="K61" s="52">
        <f>(+I61-C61)/C61</f>
        <v>0</v>
      </c>
      <c r="L61" s="55"/>
      <c r="M61" s="49">
        <f>+I61/I$160</f>
        <v>6.436701594908072E-6</v>
      </c>
      <c r="O61" s="52"/>
    </row>
    <row r="62" spans="1:15" x14ac:dyDescent="0.25">
      <c r="A62" s="50" t="s">
        <v>82</v>
      </c>
      <c r="B62" s="37"/>
      <c r="C62" s="72">
        <f>SUM(C60:C61)</f>
        <v>102384</v>
      </c>
      <c r="D62" s="45"/>
      <c r="E62" s="72">
        <f>SUM(E60)</f>
        <v>89348</v>
      </c>
      <c r="F62" s="82"/>
      <c r="G62" s="81">
        <f>SUM(G60)</f>
        <v>98877</v>
      </c>
      <c r="H62" s="73"/>
      <c r="I62" s="72">
        <f>SUM(I60:I61)</f>
        <v>101519</v>
      </c>
      <c r="J62" s="45"/>
      <c r="K62" s="66">
        <f>(+I62-C62)/C62</f>
        <v>-8.4485857165182057E-3</v>
      </c>
      <c r="L62" s="55"/>
      <c r="M62" s="67">
        <f>+I62/I$160</f>
        <v>2.1781583640449086E-4</v>
      </c>
      <c r="O62" s="52">
        <f>(+I62-E62)/E62</f>
        <v>0.13622017280744952</v>
      </c>
    </row>
    <row r="63" spans="1:15" x14ac:dyDescent="0.25">
      <c r="A63" s="50"/>
      <c r="B63" s="37"/>
      <c r="C63" s="71"/>
      <c r="D63" s="71"/>
      <c r="E63" s="71"/>
      <c r="F63" s="82"/>
      <c r="G63" s="80"/>
      <c r="H63" s="71"/>
      <c r="I63" s="71"/>
      <c r="J63" s="82"/>
      <c r="K63" s="52"/>
      <c r="L63" s="55"/>
      <c r="M63" s="49"/>
      <c r="O63" s="52"/>
    </row>
    <row r="64" spans="1:15" x14ac:dyDescent="0.25">
      <c r="A64" s="50" t="s">
        <v>83</v>
      </c>
      <c r="B64" s="37"/>
      <c r="C64" s="71"/>
      <c r="D64" s="71"/>
      <c r="E64" s="71"/>
      <c r="F64" s="82"/>
      <c r="G64" s="80"/>
      <c r="H64" s="71"/>
      <c r="I64" s="71"/>
      <c r="J64" s="82"/>
      <c r="K64" s="52"/>
      <c r="L64" s="55"/>
      <c r="M64" s="49"/>
      <c r="O64" s="52"/>
    </row>
    <row r="65" spans="1:15" x14ac:dyDescent="0.25">
      <c r="A65" s="40" t="s">
        <v>64</v>
      </c>
      <c r="B65" s="37"/>
      <c r="C65" s="44">
        <v>5139476</v>
      </c>
      <c r="D65" s="44"/>
      <c r="E65" s="44">
        <v>4214294</v>
      </c>
      <c r="F65" s="82"/>
      <c r="G65" s="78">
        <v>4478249</v>
      </c>
      <c r="H65" s="71"/>
      <c r="I65" s="44">
        <v>5278209</v>
      </c>
      <c r="J65" s="45"/>
      <c r="K65" s="52">
        <f>(+I65-C65)/C65</f>
        <v>2.6993607908666176E-2</v>
      </c>
      <c r="L65" s="55"/>
      <c r="M65" s="49">
        <f>+I65/I$160</f>
        <v>1.1324752096186047E-2</v>
      </c>
      <c r="O65" s="52">
        <f>(+I65-E65)/E65</f>
        <v>0.25245391042959986</v>
      </c>
    </row>
    <row r="66" spans="1:15" x14ac:dyDescent="0.25">
      <c r="A66" s="40" t="s">
        <v>65</v>
      </c>
      <c r="B66" s="37"/>
      <c r="C66" s="44">
        <v>9600</v>
      </c>
      <c r="D66" s="44"/>
      <c r="E66" s="44">
        <v>10493</v>
      </c>
      <c r="F66" s="82"/>
      <c r="G66" s="78">
        <v>13600</v>
      </c>
      <c r="H66" s="71"/>
      <c r="I66" s="44">
        <v>8600</v>
      </c>
      <c r="J66" s="45"/>
      <c r="K66" s="52">
        <f>(+I66-C66)/C66</f>
        <v>-0.10416666666666667</v>
      </c>
      <c r="L66" s="55"/>
      <c r="M66" s="49">
        <f>+I66/I$160</f>
        <v>1.8451877905403142E-5</v>
      </c>
      <c r="O66" s="52">
        <f>(+I66-E66)/E66</f>
        <v>-0.1804059849423425</v>
      </c>
    </row>
    <row r="67" spans="1:15" x14ac:dyDescent="0.25">
      <c r="A67" s="40" t="s">
        <v>79</v>
      </c>
      <c r="B67" s="37"/>
      <c r="C67" s="44">
        <v>130462</v>
      </c>
      <c r="D67" s="44"/>
      <c r="E67" s="44">
        <v>104585</v>
      </c>
      <c r="F67" s="82"/>
      <c r="G67" s="78">
        <v>85200</v>
      </c>
      <c r="H67" s="71"/>
      <c r="I67" s="44">
        <v>127613</v>
      </c>
      <c r="J67" s="45"/>
      <c r="K67" s="52">
        <f>(+I67-C67)/C67</f>
        <v>-2.1837776517300057E-2</v>
      </c>
      <c r="L67" s="55"/>
      <c r="M67" s="49">
        <f>+I67/I$160</f>
        <v>2.7380226687700126E-4</v>
      </c>
      <c r="O67" s="52">
        <f>(+I67-E67)/E67</f>
        <v>0.2201845388918105</v>
      </c>
    </row>
    <row r="68" spans="1:15" x14ac:dyDescent="0.25">
      <c r="A68" s="40" t="s">
        <v>67</v>
      </c>
      <c r="B68" s="37"/>
      <c r="C68" s="44">
        <v>12217</v>
      </c>
      <c r="D68" s="44"/>
      <c r="E68" s="44">
        <v>6862</v>
      </c>
      <c r="F68" s="82"/>
      <c r="G68" s="78">
        <v>4652</v>
      </c>
      <c r="H68" s="71"/>
      <c r="I68" s="44">
        <f>9452+7425</f>
        <v>16877</v>
      </c>
      <c r="J68" s="45"/>
      <c r="K68" s="52">
        <f>(+I68-C68)/C68</f>
        <v>0.38143570434640256</v>
      </c>
      <c r="L68" s="55"/>
      <c r="M68" s="49">
        <f>+I68/I$160</f>
        <v>3.6210737605754511E-5</v>
      </c>
      <c r="O68" s="52">
        <f>(+I68-E68)/E68</f>
        <v>1.4594870300204021</v>
      </c>
    </row>
    <row r="69" spans="1:15" x14ac:dyDescent="0.25">
      <c r="A69" s="43" t="s">
        <v>84</v>
      </c>
      <c r="B69" s="42"/>
      <c r="C69" s="72">
        <f>SUM(C65:C68)</f>
        <v>5291755</v>
      </c>
      <c r="D69" s="45"/>
      <c r="E69" s="72">
        <f>SUM(E65:E68)</f>
        <v>4336234</v>
      </c>
      <c r="F69" s="82"/>
      <c r="G69" s="81">
        <f>SUM(G65:G68)</f>
        <v>4581701</v>
      </c>
      <c r="H69" s="73"/>
      <c r="I69" s="72">
        <f>SUM(I65:I68)</f>
        <v>5431299</v>
      </c>
      <c r="J69" s="45"/>
      <c r="K69" s="66">
        <f>(+I69-C69)/C69</f>
        <v>2.6370079491586439E-2</v>
      </c>
      <c r="L69" s="55"/>
      <c r="M69" s="67">
        <f>+I69/I$160</f>
        <v>1.1653216978574207E-2</v>
      </c>
      <c r="O69" s="52">
        <f>(+I69-E69)/E69</f>
        <v>0.25253826246461791</v>
      </c>
    </row>
    <row r="70" spans="1:15" x14ac:dyDescent="0.25">
      <c r="A70" s="37"/>
      <c r="B70" s="37"/>
      <c r="C70" s="71"/>
      <c r="D70" s="71"/>
      <c r="E70" s="71"/>
      <c r="F70" s="82"/>
      <c r="G70" s="80"/>
      <c r="H70" s="71"/>
      <c r="I70" s="71"/>
      <c r="J70" s="82"/>
      <c r="K70" s="52"/>
      <c r="L70" s="55"/>
      <c r="M70" s="49"/>
      <c r="O70" s="52"/>
    </row>
    <row r="71" spans="1:15" x14ac:dyDescent="0.25">
      <c r="A71" s="50" t="s">
        <v>85</v>
      </c>
      <c r="B71" s="37"/>
      <c r="C71" s="71"/>
      <c r="D71" s="71"/>
      <c r="E71" s="71"/>
      <c r="F71" s="82"/>
      <c r="G71" s="80"/>
      <c r="H71" s="71"/>
      <c r="I71" s="71"/>
      <c r="J71" s="82"/>
      <c r="K71" s="52"/>
      <c r="L71" s="55"/>
      <c r="M71" s="49"/>
      <c r="O71" s="52"/>
    </row>
    <row r="72" spans="1:15" s="166" customFormat="1" x14ac:dyDescent="0.25">
      <c r="A72" s="40" t="s">
        <v>64</v>
      </c>
      <c r="B72" s="37"/>
      <c r="C72" s="44">
        <v>0</v>
      </c>
      <c r="D72" s="44"/>
      <c r="E72" s="44">
        <v>4214294</v>
      </c>
      <c r="F72" s="82"/>
      <c r="G72" s="78">
        <v>4478249</v>
      </c>
      <c r="H72" s="71"/>
      <c r="I72" s="44">
        <v>34128</v>
      </c>
      <c r="J72" s="45"/>
      <c r="K72" s="52">
        <v>1</v>
      </c>
      <c r="L72" s="55"/>
      <c r="M72" s="49">
        <f>+I72/I$160</f>
        <v>7.3223917343674235E-5</v>
      </c>
      <c r="O72" s="52">
        <f>(+I72-E72)/E72</f>
        <v>-0.99190184643026802</v>
      </c>
    </row>
    <row r="73" spans="1:15" x14ac:dyDescent="0.25">
      <c r="A73" s="40" t="s">
        <v>65</v>
      </c>
      <c r="B73" s="37"/>
      <c r="C73" s="44">
        <v>15055205</v>
      </c>
      <c r="D73" s="44"/>
      <c r="E73" s="44">
        <v>9283697</v>
      </c>
      <c r="F73" s="82"/>
      <c r="G73" s="78">
        <v>9344483</v>
      </c>
      <c r="H73" s="71"/>
      <c r="I73" s="44">
        <v>15148990</v>
      </c>
      <c r="J73" s="45"/>
      <c r="K73" s="52">
        <f>(+I73-C73)/C73</f>
        <v>6.229407038960944E-3</v>
      </c>
      <c r="L73" s="55"/>
      <c r="M73" s="49">
        <f>+I73/I$160</f>
        <v>3.2503176031415483E-2</v>
      </c>
      <c r="O73" s="52">
        <f>(+I73-E73)/E73</f>
        <v>0.63178419114712603</v>
      </c>
    </row>
    <row r="74" spans="1:15" x14ac:dyDescent="0.25">
      <c r="A74" s="43" t="s">
        <v>86</v>
      </c>
      <c r="B74" s="42"/>
      <c r="C74" s="72">
        <f>SUM(C73:C73)</f>
        <v>15055205</v>
      </c>
      <c r="D74" s="45"/>
      <c r="E74" s="72">
        <f>SUM(E73:E73)</f>
        <v>9283697</v>
      </c>
      <c r="F74" s="82"/>
      <c r="G74" s="81">
        <f>SUM(G73:G73)</f>
        <v>9344483</v>
      </c>
      <c r="H74" s="73"/>
      <c r="I74" s="72">
        <f>SUM(I72:I73)</f>
        <v>15183118</v>
      </c>
      <c r="J74" s="45"/>
      <c r="K74" s="66">
        <f>(+I74-C74)/C74</f>
        <v>8.4962642488096308E-3</v>
      </c>
      <c r="L74" s="55"/>
      <c r="M74" s="67">
        <f>+I74/I$160</f>
        <v>3.2576399948759154E-2</v>
      </c>
      <c r="O74" s="52">
        <f>(+I74-E74)/E74</f>
        <v>0.6354603128473495</v>
      </c>
    </row>
    <row r="75" spans="1:15" s="166" customFormat="1" x14ac:dyDescent="0.25">
      <c r="A75" s="43"/>
      <c r="B75" s="42"/>
      <c r="C75" s="45"/>
      <c r="D75" s="45"/>
      <c r="E75" s="45"/>
      <c r="F75" s="82"/>
      <c r="G75" s="79"/>
      <c r="H75" s="82"/>
      <c r="I75" s="45"/>
      <c r="J75" s="45"/>
      <c r="K75" s="55"/>
      <c r="L75" s="55"/>
      <c r="M75" s="68"/>
      <c r="O75" s="52"/>
    </row>
    <row r="76" spans="1:15" s="166" customFormat="1" hidden="1" x14ac:dyDescent="0.25">
      <c r="A76" s="50" t="s">
        <v>110</v>
      </c>
      <c r="B76" s="37"/>
      <c r="C76" s="71"/>
      <c r="D76" s="71"/>
      <c r="E76" s="71"/>
      <c r="F76" s="82"/>
      <c r="G76" s="80"/>
      <c r="H76" s="71"/>
      <c r="I76" s="71"/>
      <c r="J76" s="82"/>
      <c r="K76" s="52"/>
      <c r="L76" s="55"/>
      <c r="M76" s="49"/>
      <c r="O76" s="52"/>
    </row>
    <row r="77" spans="1:15" s="166" customFormat="1" hidden="1" x14ac:dyDescent="0.25">
      <c r="A77" s="40" t="s">
        <v>79</v>
      </c>
      <c r="B77" s="37"/>
      <c r="C77" s="44">
        <v>0</v>
      </c>
      <c r="D77" s="44"/>
      <c r="E77" s="44">
        <v>9283697</v>
      </c>
      <c r="F77" s="82"/>
      <c r="G77" s="78">
        <v>9344483</v>
      </c>
      <c r="H77" s="71"/>
      <c r="I77" s="44">
        <v>0</v>
      </c>
      <c r="J77" s="45"/>
      <c r="K77" s="52" t="str">
        <f>IF(C77=0,"n/a",(+I77-C77)/C77)</f>
        <v>n/a</v>
      </c>
      <c r="L77" s="55"/>
      <c r="M77" s="49">
        <f>+I77/I$160</f>
        <v>0</v>
      </c>
      <c r="O77" s="52">
        <f>(+I77-E77)/E77</f>
        <v>-1</v>
      </c>
    </row>
    <row r="78" spans="1:15" s="166" customFormat="1" hidden="1" x14ac:dyDescent="0.25">
      <c r="A78" s="43" t="s">
        <v>109</v>
      </c>
      <c r="B78" s="42"/>
      <c r="C78" s="72">
        <f>SUM(C77:C77)</f>
        <v>0</v>
      </c>
      <c r="D78" s="45"/>
      <c r="E78" s="72">
        <f>SUM(E77:E77)</f>
        <v>9283697</v>
      </c>
      <c r="F78" s="82"/>
      <c r="G78" s="81">
        <f>SUM(G77:G77)</f>
        <v>9344483</v>
      </c>
      <c r="H78" s="73"/>
      <c r="I78" s="72">
        <f>SUM(I77:I77)</f>
        <v>0</v>
      </c>
      <c r="J78" s="45"/>
      <c r="K78" s="66" t="str">
        <f>IF(C78=0,"n/a",(+I78-C78)/C78)</f>
        <v>n/a</v>
      </c>
      <c r="L78" s="55"/>
      <c r="M78" s="67">
        <f>+I78/I$160</f>
        <v>0</v>
      </c>
      <c r="O78" s="52">
        <f>(+I78-E78)/E78</f>
        <v>-1</v>
      </c>
    </row>
    <row r="79" spans="1:15" s="166" customFormat="1" hidden="1" x14ac:dyDescent="0.25">
      <c r="A79" s="43"/>
      <c r="B79" s="42"/>
      <c r="C79" s="45"/>
      <c r="D79" s="45"/>
      <c r="E79" s="45"/>
      <c r="F79" s="82"/>
      <c r="G79" s="79"/>
      <c r="H79" s="82"/>
      <c r="I79" s="45"/>
      <c r="J79" s="45"/>
      <c r="K79" s="55"/>
      <c r="L79" s="55"/>
      <c r="M79" s="68"/>
      <c r="O79" s="55"/>
    </row>
    <row r="80" spans="1:15" s="166" customFormat="1" x14ac:dyDescent="0.25">
      <c r="A80" s="50" t="s">
        <v>110</v>
      </c>
      <c r="B80" s="37"/>
      <c r="C80" s="71"/>
      <c r="D80" s="71"/>
      <c r="E80" s="71"/>
      <c r="F80" s="82"/>
      <c r="G80" s="80"/>
      <c r="H80" s="71"/>
      <c r="I80" s="71"/>
      <c r="J80" s="82"/>
      <c r="K80" s="52"/>
      <c r="L80" s="55"/>
      <c r="M80" s="49"/>
      <c r="O80" s="52"/>
    </row>
    <row r="81" spans="1:17" s="166" customFormat="1" x14ac:dyDescent="0.25">
      <c r="A81" s="40" t="s">
        <v>64</v>
      </c>
      <c r="B81" s="37"/>
      <c r="C81" s="44">
        <v>0</v>
      </c>
      <c r="D81" s="44"/>
      <c r="E81" s="44">
        <v>4214294</v>
      </c>
      <c r="F81" s="82"/>
      <c r="G81" s="78">
        <v>4478249</v>
      </c>
      <c r="H81" s="71"/>
      <c r="I81" s="44">
        <v>34134</v>
      </c>
      <c r="J81" s="45"/>
      <c r="K81" s="52">
        <v>1</v>
      </c>
      <c r="L81" s="55"/>
      <c r="M81" s="49">
        <f>+I81/I$160</f>
        <v>7.3236790746864053E-5</v>
      </c>
      <c r="O81" s="52">
        <f>(+I81-E81)/E81</f>
        <v>-0.99190042270425371</v>
      </c>
    </row>
    <row r="82" spans="1:17" s="166" customFormat="1" x14ac:dyDescent="0.25">
      <c r="A82" s="43" t="s">
        <v>109</v>
      </c>
      <c r="B82" s="42"/>
      <c r="C82" s="72">
        <f>SUM(C81)</f>
        <v>0</v>
      </c>
      <c r="D82" s="45"/>
      <c r="E82" s="72" t="e">
        <f>SUM(#REF!)</f>
        <v>#REF!</v>
      </c>
      <c r="F82" s="82"/>
      <c r="G82" s="81" t="e">
        <f>SUM(#REF!)</f>
        <v>#REF!</v>
      </c>
      <c r="H82" s="73"/>
      <c r="I82" s="72">
        <f>SUM(I81)</f>
        <v>34134</v>
      </c>
      <c r="J82" s="45"/>
      <c r="K82" s="66">
        <v>1</v>
      </c>
      <c r="L82" s="55"/>
      <c r="M82" s="67">
        <f>+I82/I$160</f>
        <v>7.3236790746864053E-5</v>
      </c>
      <c r="O82" s="52" t="e">
        <f>(+I82-E82)/E82</f>
        <v>#REF!</v>
      </c>
    </row>
    <row r="83" spans="1:17" s="166" customFormat="1" x14ac:dyDescent="0.25">
      <c r="A83" s="43"/>
      <c r="B83" s="42"/>
      <c r="C83" s="45"/>
      <c r="D83" s="45"/>
      <c r="E83" s="45"/>
      <c r="F83" s="82"/>
      <c r="G83" s="79"/>
      <c r="H83" s="82"/>
      <c r="I83" s="45"/>
      <c r="J83" s="45"/>
      <c r="K83" s="55"/>
      <c r="L83" s="55"/>
      <c r="M83" s="68"/>
      <c r="O83" s="52"/>
    </row>
    <row r="84" spans="1:17" x14ac:dyDescent="0.25">
      <c r="A84" s="50" t="s">
        <v>87</v>
      </c>
      <c r="B84" s="37"/>
      <c r="C84" s="71"/>
      <c r="D84" s="71"/>
      <c r="E84" s="71"/>
      <c r="F84" s="82"/>
      <c r="G84" s="80"/>
      <c r="H84" s="71"/>
      <c r="I84" s="71"/>
      <c r="J84" s="82"/>
      <c r="K84" s="52"/>
      <c r="L84" s="55"/>
      <c r="M84" s="49"/>
      <c r="O84" s="52"/>
    </row>
    <row r="85" spans="1:17" x14ac:dyDescent="0.25">
      <c r="A85" s="40" t="s">
        <v>64</v>
      </c>
      <c r="B85" s="37"/>
      <c r="C85" s="44">
        <v>6545565</v>
      </c>
      <c r="D85" s="44"/>
      <c r="E85" s="44">
        <f>5173376-16875-40125</f>
        <v>5116376</v>
      </c>
      <c r="F85" s="82"/>
      <c r="G85" s="78">
        <v>5307980</v>
      </c>
      <c r="H85" s="71"/>
      <c r="I85" s="44">
        <v>6513135</v>
      </c>
      <c r="J85" s="45"/>
      <c r="K85" s="52">
        <f t="shared" ref="K85:K90" si="4">(+I85-C85)/C85</f>
        <v>-4.9544997261504542E-3</v>
      </c>
      <c r="L85" s="55"/>
      <c r="M85" s="49">
        <f t="shared" ref="M85:M90" si="5">+I85/I$160</f>
        <v>1.3974368814117196E-2</v>
      </c>
      <c r="O85" s="52">
        <f t="shared" ref="O85:O90" si="6">(+I85-E85)/E85</f>
        <v>0.27299772338858597</v>
      </c>
    </row>
    <row r="86" spans="1:17" x14ac:dyDescent="0.25">
      <c r="A86" s="40" t="s">
        <v>65</v>
      </c>
      <c r="B86" s="37"/>
      <c r="C86" s="44">
        <v>639885</v>
      </c>
      <c r="D86" s="44"/>
      <c r="E86" s="44">
        <v>451559</v>
      </c>
      <c r="F86" s="82"/>
      <c r="G86" s="78">
        <v>457961</v>
      </c>
      <c r="H86" s="71"/>
      <c r="I86" s="44">
        <v>626270</v>
      </c>
      <c r="J86" s="45"/>
      <c r="K86" s="52">
        <f t="shared" si="4"/>
        <v>-2.1277260757792415E-2</v>
      </c>
      <c r="L86" s="55"/>
      <c r="M86" s="49">
        <f t="shared" si="5"/>
        <v>1.3437043692810261E-3</v>
      </c>
      <c r="O86" s="52">
        <f t="shared" si="6"/>
        <v>0.38690625145329849</v>
      </c>
    </row>
    <row r="87" spans="1:17" x14ac:dyDescent="0.25">
      <c r="A87" s="40" t="s">
        <v>79</v>
      </c>
      <c r="B87" s="37"/>
      <c r="C87" s="44">
        <v>1066018</v>
      </c>
      <c r="D87" s="44"/>
      <c r="E87" s="44">
        <v>1091605</v>
      </c>
      <c r="F87" s="82"/>
      <c r="G87" s="78">
        <v>935728</v>
      </c>
      <c r="H87" s="71"/>
      <c r="I87" s="44">
        <v>1046372</v>
      </c>
      <c r="J87" s="45"/>
      <c r="K87" s="52">
        <f t="shared" si="4"/>
        <v>-1.842933233772788E-2</v>
      </c>
      <c r="L87" s="55"/>
      <c r="M87" s="49">
        <f t="shared" si="5"/>
        <v>2.245061440422383E-3</v>
      </c>
      <c r="O87" s="52">
        <f t="shared" si="6"/>
        <v>-4.1437149884802654E-2</v>
      </c>
    </row>
    <row r="88" spans="1:17" x14ac:dyDescent="0.25">
      <c r="A88" s="40" t="s">
        <v>67</v>
      </c>
      <c r="B88" s="37"/>
      <c r="C88" s="44">
        <v>1945179</v>
      </c>
      <c r="D88" s="44"/>
      <c r="E88" s="44">
        <v>2311205</v>
      </c>
      <c r="F88" s="82"/>
      <c r="G88" s="78">
        <v>2213743</v>
      </c>
      <c r="H88" s="71"/>
      <c r="I88" s="44">
        <v>2043250</v>
      </c>
      <c r="J88" s="45"/>
      <c r="K88" s="52">
        <f t="shared" si="4"/>
        <v>5.0417468006800401E-2</v>
      </c>
      <c r="L88" s="55"/>
      <c r="M88" s="49">
        <f t="shared" si="5"/>
        <v>4.3839301779319733E-3</v>
      </c>
      <c r="O88" s="52">
        <f t="shared" si="6"/>
        <v>-0.11593735735254986</v>
      </c>
    </row>
    <row r="89" spans="1:17" hidden="1" x14ac:dyDescent="0.25">
      <c r="A89" s="40" t="s">
        <v>68</v>
      </c>
      <c r="B89" s="37"/>
      <c r="C89" s="44">
        <v>0</v>
      </c>
      <c r="D89" s="44"/>
      <c r="E89" s="44">
        <v>164726</v>
      </c>
      <c r="F89" s="82"/>
      <c r="G89" s="78">
        <v>0</v>
      </c>
      <c r="H89" s="71"/>
      <c r="I89" s="44">
        <v>0</v>
      </c>
      <c r="J89" s="45"/>
      <c r="K89" s="52" t="e">
        <f t="shared" si="4"/>
        <v>#DIV/0!</v>
      </c>
      <c r="L89" s="55"/>
      <c r="M89" s="49">
        <f t="shared" si="5"/>
        <v>0</v>
      </c>
      <c r="O89" s="52">
        <f t="shared" si="6"/>
        <v>-1</v>
      </c>
    </row>
    <row r="90" spans="1:17" x14ac:dyDescent="0.25">
      <c r="A90" s="43" t="s">
        <v>88</v>
      </c>
      <c r="B90" s="42"/>
      <c r="C90" s="72">
        <f>SUM(C85:C89)</f>
        <v>10196647</v>
      </c>
      <c r="D90" s="45"/>
      <c r="E90" s="72">
        <f>SUM(E85:E89)</f>
        <v>9135471</v>
      </c>
      <c r="F90" s="82"/>
      <c r="G90" s="81">
        <f>SUM(G85:G89)</f>
        <v>8915412</v>
      </c>
      <c r="H90" s="73"/>
      <c r="I90" s="72">
        <f>SUM(I85:I89)</f>
        <v>10229027</v>
      </c>
      <c r="J90" s="45"/>
      <c r="K90" s="66">
        <f t="shared" si="4"/>
        <v>3.1755536893647491E-3</v>
      </c>
      <c r="L90" s="55"/>
      <c r="M90" s="67">
        <f t="shared" si="5"/>
        <v>2.194706480175258E-2</v>
      </c>
      <c r="O90" s="52">
        <f t="shared" si="6"/>
        <v>0.11970439181515655</v>
      </c>
    </row>
    <row r="91" spans="1:17" x14ac:dyDescent="0.25">
      <c r="A91" s="37"/>
      <c r="B91" s="37"/>
      <c r="C91" s="71"/>
      <c r="D91" s="71"/>
      <c r="E91" s="71"/>
      <c r="F91" s="82"/>
      <c r="G91" s="80"/>
      <c r="H91" s="71"/>
      <c r="I91" s="71"/>
      <c r="J91" s="82"/>
      <c r="K91" s="52"/>
      <c r="L91" s="55"/>
      <c r="M91" s="49"/>
      <c r="O91" s="52"/>
    </row>
    <row r="92" spans="1:17" x14ac:dyDescent="0.25">
      <c r="A92" s="50" t="s">
        <v>89</v>
      </c>
      <c r="B92" s="37"/>
      <c r="C92" s="71"/>
      <c r="D92" s="71"/>
      <c r="E92" s="71"/>
      <c r="F92" s="82"/>
      <c r="G92" s="80"/>
      <c r="H92" s="71"/>
      <c r="I92" s="71"/>
      <c r="J92" s="82"/>
      <c r="K92" s="52"/>
      <c r="L92" s="55"/>
      <c r="M92" s="49"/>
      <c r="O92" s="52"/>
    </row>
    <row r="93" spans="1:17" x14ac:dyDescent="0.25">
      <c r="A93" s="40" t="s">
        <v>64</v>
      </c>
      <c r="B93" s="37"/>
      <c r="C93" s="44">
        <v>7673260</v>
      </c>
      <c r="D93" s="44"/>
      <c r="E93" s="44">
        <f>13861817-6943223-79883</f>
        <v>6838711</v>
      </c>
      <c r="F93" s="82"/>
      <c r="G93" s="78">
        <v>7486029</v>
      </c>
      <c r="H93" s="71"/>
      <c r="I93" s="44">
        <v>7905696</v>
      </c>
      <c r="J93" s="45"/>
      <c r="K93" s="52">
        <f>(+I93-C93)/C93</f>
        <v>3.029168827851526E-2</v>
      </c>
      <c r="L93" s="55"/>
      <c r="M93" s="49">
        <f>+I93/I$160</f>
        <v>1.6962202017352788E-2</v>
      </c>
      <c r="O93" s="52">
        <f>(+I93-E93)/E93</f>
        <v>0.15602136133549144</v>
      </c>
      <c r="Q93" s="31"/>
    </row>
    <row r="94" spans="1:17" x14ac:dyDescent="0.25">
      <c r="A94" s="40" t="s">
        <v>65</v>
      </c>
      <c r="B94" s="37"/>
      <c r="C94" s="44">
        <v>1609952</v>
      </c>
      <c r="D94" s="44"/>
      <c r="E94" s="44">
        <v>1249282</v>
      </c>
      <c r="F94" s="82"/>
      <c r="G94" s="78">
        <v>1465556</v>
      </c>
      <c r="H94" s="71"/>
      <c r="I94" s="44">
        <v>1626008</v>
      </c>
      <c r="J94" s="45"/>
      <c r="K94" s="52">
        <f>(+I94-C94)/C94</f>
        <v>9.9729681381805178E-3</v>
      </c>
      <c r="L94" s="55"/>
      <c r="M94" s="49">
        <f>+I94/I$160</f>
        <v>3.4887094289777617E-3</v>
      </c>
      <c r="O94" s="52">
        <f>(+I94-E94)/E94</f>
        <v>0.30155401262485171</v>
      </c>
    </row>
    <row r="95" spans="1:17" x14ac:dyDescent="0.25">
      <c r="A95" s="40" t="s">
        <v>79</v>
      </c>
      <c r="B95" s="37"/>
      <c r="C95" s="44">
        <v>408150</v>
      </c>
      <c r="D95" s="44"/>
      <c r="E95" s="44">
        <v>166376</v>
      </c>
      <c r="F95" s="82"/>
      <c r="G95" s="78">
        <v>320913</v>
      </c>
      <c r="H95" s="71"/>
      <c r="I95" s="44">
        <v>417250</v>
      </c>
      <c r="J95" s="45"/>
      <c r="K95" s="52">
        <f>(+I95-C95)/C95</f>
        <v>2.2295724611049859E-2</v>
      </c>
      <c r="L95" s="55"/>
      <c r="M95" s="49">
        <f>+I95/I$160</f>
        <v>8.9523791349179773E-4</v>
      </c>
      <c r="O95" s="52">
        <f>(+I95-E95)/E95</f>
        <v>1.5078737317882387</v>
      </c>
    </row>
    <row r="96" spans="1:17" x14ac:dyDescent="0.25">
      <c r="A96" s="40" t="s">
        <v>67</v>
      </c>
      <c r="B96" s="37"/>
      <c r="C96" s="44">
        <v>857107</v>
      </c>
      <c r="D96" s="44"/>
      <c r="E96" s="44">
        <v>692690</v>
      </c>
      <c r="F96" s="82"/>
      <c r="G96" s="78">
        <v>762798</v>
      </c>
      <c r="H96" s="71"/>
      <c r="I96" s="44">
        <f>775744+15000</f>
        <v>790744</v>
      </c>
      <c r="J96" s="45"/>
      <c r="K96" s="52">
        <f>(+I96-C96)/C96</f>
        <v>-7.7426739018582283E-2</v>
      </c>
      <c r="L96" s="55"/>
      <c r="M96" s="49">
        <f>+I96/I$160</f>
        <v>1.696594388654663E-3</v>
      </c>
      <c r="O96" s="52">
        <f>(+I96-E96)/E96</f>
        <v>0.14155538552599287</v>
      </c>
    </row>
    <row r="97" spans="1:15" x14ac:dyDescent="0.25">
      <c r="A97" s="43" t="s">
        <v>90</v>
      </c>
      <c r="B97" s="42"/>
      <c r="C97" s="72">
        <f>SUM(C93:C96)</f>
        <v>10548469</v>
      </c>
      <c r="D97" s="45"/>
      <c r="E97" s="72">
        <f>SUM(E93:E96)</f>
        <v>8947059</v>
      </c>
      <c r="F97" s="82"/>
      <c r="G97" s="81">
        <f>SUM(G93:G96)</f>
        <v>10035296</v>
      </c>
      <c r="H97" s="73"/>
      <c r="I97" s="72">
        <f>SUM(I93:I96)</f>
        <v>10739698</v>
      </c>
      <c r="J97" s="45"/>
      <c r="K97" s="66">
        <f>(+I97-C97)/C97</f>
        <v>1.8128602359261805E-2</v>
      </c>
      <c r="L97" s="55"/>
      <c r="M97" s="67">
        <f>+I97/I$160</f>
        <v>2.304274374847701E-2</v>
      </c>
      <c r="O97" s="52">
        <f>(+I97-E97)/E97</f>
        <v>0.20036069953266208</v>
      </c>
    </row>
    <row r="98" spans="1:15" x14ac:dyDescent="0.25">
      <c r="A98" s="37"/>
      <c r="B98" s="37"/>
      <c r="C98" s="47"/>
      <c r="D98" s="47"/>
      <c r="E98" s="47"/>
      <c r="F98" s="53"/>
      <c r="G98" s="83"/>
      <c r="H98" s="47"/>
      <c r="I98" s="47"/>
      <c r="J98" s="53"/>
      <c r="K98" s="74"/>
      <c r="L98" s="139"/>
      <c r="M98" s="75"/>
      <c r="O98" s="74"/>
    </row>
    <row r="99" spans="1:15" x14ac:dyDescent="0.25">
      <c r="A99" s="50" t="s">
        <v>91</v>
      </c>
      <c r="B99" s="37"/>
      <c r="C99" s="71"/>
      <c r="D99" s="71"/>
      <c r="E99" s="71"/>
      <c r="F99" s="82"/>
      <c r="G99" s="80"/>
      <c r="H99" s="71"/>
      <c r="I99" s="71"/>
      <c r="J99" s="82"/>
      <c r="K99" s="69"/>
      <c r="L99" s="138"/>
      <c r="M99" s="70"/>
      <c r="O99" s="69"/>
    </row>
    <row r="100" spans="1:15" x14ac:dyDescent="0.25">
      <c r="A100" s="40" t="s">
        <v>92</v>
      </c>
      <c r="B100" s="37"/>
      <c r="C100" s="44">
        <v>7941361</v>
      </c>
      <c r="D100" s="44"/>
      <c r="E100" s="44">
        <f>7271829-7872</f>
        <v>7263957</v>
      </c>
      <c r="F100" s="45"/>
      <c r="G100" s="78">
        <v>7838661</v>
      </c>
      <c r="H100" s="44"/>
      <c r="I100" s="44">
        <v>8439716</v>
      </c>
      <c r="J100" s="45"/>
      <c r="K100" s="52">
        <f t="shared" ref="K100:K105" si="7">(+I100-C100)/C100</f>
        <v>6.275435658950651E-2</v>
      </c>
      <c r="L100" s="55"/>
      <c r="M100" s="49">
        <f t="shared" ref="M100:M105" si="8">+I100/I$160</f>
        <v>1.8107977812590392E-2</v>
      </c>
      <c r="O100" s="52">
        <f t="shared" ref="O100:O105" si="9">(+I100-E100)/E100</f>
        <v>0.16186205397416312</v>
      </c>
    </row>
    <row r="101" spans="1:15" x14ac:dyDescent="0.25">
      <c r="A101" s="40" t="s">
        <v>65</v>
      </c>
      <c r="B101" s="37"/>
      <c r="C101" s="44">
        <v>27559987</v>
      </c>
      <c r="D101" s="44"/>
      <c r="E101" s="44">
        <v>29237737</v>
      </c>
      <c r="F101" s="45"/>
      <c r="G101" s="78">
        <v>29229200</v>
      </c>
      <c r="H101" s="44"/>
      <c r="I101" s="44">
        <v>28781692</v>
      </c>
      <c r="J101" s="45"/>
      <c r="K101" s="52">
        <f t="shared" si="7"/>
        <v>4.4328939632663836E-2</v>
      </c>
      <c r="L101" s="55"/>
      <c r="M101" s="49">
        <f t="shared" si="8"/>
        <v>6.1753054266850967E-2</v>
      </c>
      <c r="O101" s="52">
        <f t="shared" si="9"/>
        <v>-1.5597821404577243E-2</v>
      </c>
    </row>
    <row r="102" spans="1:15" x14ac:dyDescent="0.25">
      <c r="A102" s="40" t="s">
        <v>79</v>
      </c>
      <c r="B102" s="37"/>
      <c r="C102" s="44">
        <v>2473467</v>
      </c>
      <c r="D102" s="44"/>
      <c r="E102" s="44">
        <v>1669094</v>
      </c>
      <c r="F102" s="45"/>
      <c r="G102" s="78">
        <v>1883562</v>
      </c>
      <c r="H102" s="44"/>
      <c r="I102" s="44">
        <v>2468687</v>
      </c>
      <c r="J102" s="45"/>
      <c r="K102" s="52">
        <f t="shared" si="7"/>
        <v>-1.9325101163670266E-3</v>
      </c>
      <c r="L102" s="55"/>
      <c r="M102" s="49">
        <f t="shared" si="8"/>
        <v>5.2967338500762746E-3</v>
      </c>
      <c r="O102" s="52">
        <f t="shared" si="9"/>
        <v>0.47905809978347536</v>
      </c>
    </row>
    <row r="103" spans="1:15" x14ac:dyDescent="0.25">
      <c r="A103" s="40" t="s">
        <v>67</v>
      </c>
      <c r="B103" s="37"/>
      <c r="C103" s="44">
        <v>1106188</v>
      </c>
      <c r="D103" s="44"/>
      <c r="E103" s="44">
        <v>822348</v>
      </c>
      <c r="F103" s="45"/>
      <c r="G103" s="78">
        <v>880069</v>
      </c>
      <c r="H103" s="44"/>
      <c r="I103" s="44">
        <v>1110738</v>
      </c>
      <c r="J103" s="45"/>
      <c r="K103" s="52">
        <f t="shared" si="7"/>
        <v>4.1132248767840546E-3</v>
      </c>
      <c r="L103" s="55"/>
      <c r="M103" s="49">
        <f t="shared" si="8"/>
        <v>2.3831630187083341E-3</v>
      </c>
      <c r="O103" s="52">
        <f t="shared" si="9"/>
        <v>0.35069094835762959</v>
      </c>
    </row>
    <row r="104" spans="1:15" x14ac:dyDescent="0.25">
      <c r="A104" s="40" t="s">
        <v>68</v>
      </c>
      <c r="B104" s="37"/>
      <c r="C104" s="44">
        <v>285000</v>
      </c>
      <c r="D104" s="44"/>
      <c r="E104" s="44">
        <v>259147</v>
      </c>
      <c r="F104" s="45"/>
      <c r="G104" s="78">
        <v>100000</v>
      </c>
      <c r="H104" s="44"/>
      <c r="I104" s="44">
        <v>285000</v>
      </c>
      <c r="J104" s="45"/>
      <c r="K104" s="52">
        <f t="shared" si="7"/>
        <v>0</v>
      </c>
      <c r="L104" s="55"/>
      <c r="M104" s="49">
        <f t="shared" si="8"/>
        <v>6.1148665151626689E-4</v>
      </c>
      <c r="O104" s="52">
        <f t="shared" si="9"/>
        <v>9.9761911193260971E-2</v>
      </c>
    </row>
    <row r="105" spans="1:15" x14ac:dyDescent="0.25">
      <c r="A105" s="43" t="s">
        <v>93</v>
      </c>
      <c r="B105" s="42"/>
      <c r="C105" s="72">
        <f>SUM(C100:C104)</f>
        <v>39366003</v>
      </c>
      <c r="D105" s="45"/>
      <c r="E105" s="72">
        <f>SUM(E100:E104)</f>
        <v>39252283</v>
      </c>
      <c r="F105" s="45"/>
      <c r="G105" s="81">
        <f>SUM(G100:G104)</f>
        <v>39931492</v>
      </c>
      <c r="H105" s="72"/>
      <c r="I105" s="72">
        <f>SUM(I100:I104)</f>
        <v>41085833</v>
      </c>
      <c r="J105" s="45"/>
      <c r="K105" s="66">
        <f t="shared" si="7"/>
        <v>4.3688204768972859E-2</v>
      </c>
      <c r="L105" s="55"/>
      <c r="M105" s="67">
        <f t="shared" si="8"/>
        <v>8.815241559974224E-2</v>
      </c>
      <c r="O105" s="52">
        <f t="shared" si="9"/>
        <v>4.6711932653700675E-2</v>
      </c>
    </row>
    <row r="106" spans="1:15" s="166" customFormat="1" x14ac:dyDescent="0.25">
      <c r="A106" s="43"/>
      <c r="B106" s="42"/>
      <c r="C106" s="45"/>
      <c r="D106" s="45"/>
      <c r="E106" s="45"/>
      <c r="F106" s="45"/>
      <c r="G106" s="79"/>
      <c r="H106" s="45"/>
      <c r="I106" s="45"/>
      <c r="J106" s="45"/>
      <c r="K106" s="55"/>
      <c r="L106" s="55"/>
      <c r="M106" s="68"/>
      <c r="O106" s="52"/>
    </row>
    <row r="107" spans="1:15" x14ac:dyDescent="0.25">
      <c r="A107" s="283" t="s">
        <v>214</v>
      </c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O107" s="52"/>
    </row>
    <row r="108" spans="1:15" x14ac:dyDescent="0.25">
      <c r="A108" s="287" t="s">
        <v>0</v>
      </c>
      <c r="B108" s="287"/>
      <c r="C108" s="287"/>
      <c r="D108" s="287"/>
      <c r="E108" s="287"/>
      <c r="F108" s="287"/>
      <c r="G108" s="287"/>
      <c r="H108" s="287"/>
      <c r="I108" s="287"/>
      <c r="J108" s="287"/>
      <c r="K108" s="287"/>
      <c r="L108" s="287"/>
      <c r="M108" s="287"/>
      <c r="O108"/>
    </row>
    <row r="109" spans="1:15" x14ac:dyDescent="0.25">
      <c r="A109" s="287" t="str">
        <f>+A2</f>
        <v>General Fund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O109"/>
    </row>
    <row r="110" spans="1:15" x14ac:dyDescent="0.25">
      <c r="A110" s="286" t="s">
        <v>58</v>
      </c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O110"/>
    </row>
    <row r="111" spans="1:15" x14ac:dyDescent="0.25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O111"/>
    </row>
    <row r="112" spans="1:15" x14ac:dyDescent="0.25">
      <c r="A112" s="37"/>
      <c r="B112" s="37"/>
      <c r="C112" s="32" t="str">
        <f>+C5</f>
        <v>General Fund</v>
      </c>
      <c r="D112" s="32"/>
      <c r="E112" s="32">
        <f>+E56</f>
        <v>199266287</v>
      </c>
      <c r="F112" s="41"/>
      <c r="G112" s="36"/>
      <c r="H112" s="37"/>
      <c r="I112" s="32" t="str">
        <f>+I5</f>
        <v>General Fund</v>
      </c>
      <c r="J112" s="134"/>
      <c r="K112" s="57" t="s">
        <v>59</v>
      </c>
      <c r="L112" s="130"/>
      <c r="M112" s="58"/>
      <c r="O112" s="57" t="s">
        <v>59</v>
      </c>
    </row>
    <row r="113" spans="1:15" x14ac:dyDescent="0.25">
      <c r="A113" s="37"/>
      <c r="B113" s="37"/>
      <c r="C113" s="32" t="str">
        <f>+C6</f>
        <v>Adopted Budget</v>
      </c>
      <c r="D113" s="142"/>
      <c r="E113" s="32" t="str">
        <f>+E57</f>
        <v>Projected</v>
      </c>
      <c r="F113" s="38"/>
      <c r="G113" s="36" t="s">
        <v>2</v>
      </c>
      <c r="H113" s="37"/>
      <c r="I113" s="32" t="str">
        <f>+I6</f>
        <v>Adopted Budget</v>
      </c>
      <c r="J113" s="41"/>
      <c r="K113" s="57" t="s">
        <v>60</v>
      </c>
      <c r="L113" s="130"/>
      <c r="M113" s="59" t="s">
        <v>59</v>
      </c>
      <c r="O113" s="57" t="s">
        <v>60</v>
      </c>
    </row>
    <row r="114" spans="1:15" x14ac:dyDescent="0.25">
      <c r="A114" s="37"/>
      <c r="B114" s="37"/>
      <c r="C114" s="143" t="str">
        <f>+C7</f>
        <v>2016-17</v>
      </c>
      <c r="D114" s="41"/>
      <c r="E114" s="143" t="str">
        <f>+E58</f>
        <v>2010-11</v>
      </c>
      <c r="F114" s="42"/>
      <c r="G114" s="34" t="s">
        <v>4</v>
      </c>
      <c r="H114" s="61"/>
      <c r="I114" s="143" t="str">
        <f>+I7</f>
        <v>2017-18</v>
      </c>
      <c r="J114" s="41"/>
      <c r="K114" s="62" t="s">
        <v>61</v>
      </c>
      <c r="L114" s="130"/>
      <c r="M114" s="63" t="s">
        <v>62</v>
      </c>
      <c r="O114" s="62" t="s">
        <v>61</v>
      </c>
    </row>
    <row r="115" spans="1:15" x14ac:dyDescent="0.25">
      <c r="A115" s="50" t="s">
        <v>94</v>
      </c>
      <c r="B115" s="37"/>
      <c r="C115" s="46"/>
      <c r="D115" s="46"/>
      <c r="E115" s="46"/>
      <c r="F115" s="77"/>
      <c r="G115" s="35"/>
      <c r="H115" s="46"/>
      <c r="I115" s="46"/>
      <c r="J115" s="77"/>
      <c r="K115" s="52"/>
      <c r="L115" s="55"/>
      <c r="M115" s="49"/>
      <c r="O115" s="52"/>
    </row>
    <row r="116" spans="1:15" x14ac:dyDescent="0.25">
      <c r="A116" s="40" t="s">
        <v>92</v>
      </c>
      <c r="B116" s="37"/>
      <c r="C116" s="212">
        <v>605730</v>
      </c>
      <c r="D116" s="212"/>
      <c r="E116" s="212">
        <v>10243</v>
      </c>
      <c r="F116" s="225"/>
      <c r="G116" s="214">
        <v>18032</v>
      </c>
      <c r="H116" s="212"/>
      <c r="I116" s="212">
        <v>773734</v>
      </c>
      <c r="J116" s="45"/>
      <c r="K116" s="52">
        <f t="shared" ref="K116:K121" si="10">(+I116-C116)/C116</f>
        <v>0.27735789873375927</v>
      </c>
      <c r="L116" s="55"/>
      <c r="M116" s="49">
        <f t="shared" ref="M116:M121" si="11">+I116/I$160</f>
        <v>1.6600982906115342E-3</v>
      </c>
      <c r="O116" s="52">
        <f>(+I116-E116)/E116</f>
        <v>74.53783071365811</v>
      </c>
    </row>
    <row r="117" spans="1:15" x14ac:dyDescent="0.25">
      <c r="A117" s="40" t="s">
        <v>65</v>
      </c>
      <c r="B117" s="37"/>
      <c r="C117" s="44">
        <v>1241661</v>
      </c>
      <c r="D117" s="44"/>
      <c r="E117" s="44">
        <v>875446</v>
      </c>
      <c r="F117" s="45"/>
      <c r="G117" s="78">
        <v>885544</v>
      </c>
      <c r="H117" s="44"/>
      <c r="I117" s="44">
        <v>1101025</v>
      </c>
      <c r="J117" s="45"/>
      <c r="K117" s="52">
        <f t="shared" si="10"/>
        <v>-0.11326440952884885</v>
      </c>
      <c r="L117" s="55"/>
      <c r="M117" s="49">
        <f t="shared" si="11"/>
        <v>2.3623231245112203E-3</v>
      </c>
      <c r="O117" s="52">
        <f>(+I117-E117)/E117</f>
        <v>0.25767323170132711</v>
      </c>
    </row>
    <row r="118" spans="1:15" x14ac:dyDescent="0.25">
      <c r="A118" s="40" t="s">
        <v>79</v>
      </c>
      <c r="B118" s="37"/>
      <c r="C118" s="44">
        <v>125725</v>
      </c>
      <c r="D118" s="44"/>
      <c r="E118" s="44">
        <v>63822</v>
      </c>
      <c r="F118" s="45"/>
      <c r="G118" s="78">
        <v>9340</v>
      </c>
      <c r="H118" s="44"/>
      <c r="I118" s="44">
        <v>111700</v>
      </c>
      <c r="J118" s="45"/>
      <c r="K118" s="52">
        <f t="shared" si="10"/>
        <v>-0.1115529926426725</v>
      </c>
      <c r="L118" s="55"/>
      <c r="M118" s="49">
        <f t="shared" si="11"/>
        <v>2.3965985605041057E-4</v>
      </c>
      <c r="O118" s="52">
        <f>(+I118-E118)/E118</f>
        <v>0.75018018864968194</v>
      </c>
    </row>
    <row r="119" spans="1:15" s="166" customFormat="1" x14ac:dyDescent="0.25">
      <c r="A119" s="40" t="s">
        <v>67</v>
      </c>
      <c r="B119" s="37"/>
      <c r="C119" s="44">
        <v>21700</v>
      </c>
      <c r="D119" s="44"/>
      <c r="E119" s="44"/>
      <c r="F119" s="45"/>
      <c r="G119" s="78"/>
      <c r="H119" s="44"/>
      <c r="I119" s="44">
        <v>15350</v>
      </c>
      <c r="J119" s="45"/>
      <c r="K119" s="52">
        <f t="shared" si="10"/>
        <v>-0.29262672811059909</v>
      </c>
      <c r="L119" s="55"/>
      <c r="M119" s="49">
        <f t="shared" si="11"/>
        <v>3.2934456493946302E-5</v>
      </c>
      <c r="O119" s="52"/>
    </row>
    <row r="120" spans="1:15" s="166" customFormat="1" x14ac:dyDescent="0.25">
      <c r="A120" s="40" t="s">
        <v>68</v>
      </c>
      <c r="B120" s="37"/>
      <c r="C120" s="44">
        <v>24000</v>
      </c>
      <c r="D120" s="44"/>
      <c r="E120" s="44"/>
      <c r="F120" s="45"/>
      <c r="G120" s="78"/>
      <c r="H120" s="44"/>
      <c r="I120" s="44">
        <v>0</v>
      </c>
      <c r="J120" s="45"/>
      <c r="K120" s="52">
        <f>IF(C120=0,"n/a",(+I120-C120)/C120)</f>
        <v>-1</v>
      </c>
      <c r="L120" s="55"/>
      <c r="M120" s="49">
        <f t="shared" si="11"/>
        <v>0</v>
      </c>
      <c r="O120" s="52"/>
    </row>
    <row r="121" spans="1:15" x14ac:dyDescent="0.25">
      <c r="A121" s="43" t="s">
        <v>95</v>
      </c>
      <c r="B121" s="42"/>
      <c r="C121" s="72">
        <f>SUM(C116:C120)</f>
        <v>2018816</v>
      </c>
      <c r="D121" s="45"/>
      <c r="E121" s="72">
        <f>SUM(E116:E118)</f>
        <v>949511</v>
      </c>
      <c r="F121" s="45"/>
      <c r="G121" s="72">
        <f>SUM(G116:G118)</f>
        <v>912916</v>
      </c>
      <c r="H121" s="72"/>
      <c r="I121" s="72">
        <f>SUM(I116:I120)</f>
        <v>2001809</v>
      </c>
      <c r="J121" s="45"/>
      <c r="K121" s="66">
        <f t="shared" si="10"/>
        <v>-8.4242447058077603E-3</v>
      </c>
      <c r="L121" s="55"/>
      <c r="M121" s="67">
        <f t="shared" si="11"/>
        <v>4.2950157276671116E-3</v>
      </c>
      <c r="O121" s="52">
        <f>(+I121-E121)/E121</f>
        <v>1.1082525636880458</v>
      </c>
    </row>
    <row r="122" spans="1:15" x14ac:dyDescent="0.25">
      <c r="A122" s="37"/>
      <c r="B122" s="39"/>
      <c r="C122" s="71"/>
      <c r="D122" s="71"/>
      <c r="E122" s="71"/>
      <c r="F122" s="82"/>
      <c r="G122" s="80"/>
      <c r="H122" s="71"/>
      <c r="I122" s="71"/>
      <c r="J122" s="82"/>
      <c r="K122" s="52"/>
      <c r="L122" s="55"/>
      <c r="M122" s="49"/>
      <c r="O122" s="52"/>
    </row>
    <row r="123" spans="1:15" x14ac:dyDescent="0.25">
      <c r="A123" s="50" t="s">
        <v>96</v>
      </c>
      <c r="B123" s="39"/>
      <c r="C123" s="71"/>
      <c r="D123" s="71"/>
      <c r="E123" s="71"/>
      <c r="F123" s="82"/>
      <c r="G123" s="80"/>
      <c r="H123" s="71"/>
      <c r="I123" s="71"/>
      <c r="J123" s="82"/>
      <c r="K123" s="52"/>
      <c r="L123" s="55"/>
      <c r="M123" s="49"/>
      <c r="O123" s="52"/>
    </row>
    <row r="124" spans="1:15" x14ac:dyDescent="0.25">
      <c r="A124" s="40" t="s">
        <v>92</v>
      </c>
      <c r="B124" s="39"/>
      <c r="C124" s="44">
        <v>7382810</v>
      </c>
      <c r="D124" s="44"/>
      <c r="E124" s="44">
        <f>4248786-13775-27794</f>
        <v>4207217</v>
      </c>
      <c r="F124" s="45"/>
      <c r="G124" s="78">
        <v>4609830</v>
      </c>
      <c r="H124" s="44"/>
      <c r="I124" s="44">
        <v>7385826</v>
      </c>
      <c r="J124" s="45"/>
      <c r="K124" s="52">
        <f>(+I124-C124)/C124</f>
        <v>4.0851654045004544E-4</v>
      </c>
      <c r="L124" s="55"/>
      <c r="M124" s="49">
        <f t="shared" ref="M124:M129" si="12">+I124/I$160</f>
        <v>1.584678599797117E-2</v>
      </c>
      <c r="O124" s="52">
        <f t="shared" ref="O124:O129" si="13">(+I124-E124)/E124</f>
        <v>0.75551344273423504</v>
      </c>
    </row>
    <row r="125" spans="1:15" x14ac:dyDescent="0.25">
      <c r="A125" s="40" t="s">
        <v>65</v>
      </c>
      <c r="B125" s="39"/>
      <c r="C125" s="44">
        <v>2647371</v>
      </c>
      <c r="D125" s="44"/>
      <c r="E125" s="44">
        <v>93118</v>
      </c>
      <c r="F125" s="45"/>
      <c r="G125" s="78">
        <v>337404</v>
      </c>
      <c r="H125" s="44"/>
      <c r="I125" s="44">
        <v>3621815</v>
      </c>
      <c r="J125" s="45"/>
      <c r="K125" s="52">
        <f>(+I125-C125)/C125</f>
        <v>0.36807988000170733</v>
      </c>
      <c r="L125" s="55"/>
      <c r="M125" s="49">
        <f t="shared" si="12"/>
        <v>7.7708474623206601E-3</v>
      </c>
      <c r="O125" s="52">
        <f t="shared" si="13"/>
        <v>37.894896797611629</v>
      </c>
    </row>
    <row r="126" spans="1:15" x14ac:dyDescent="0.25">
      <c r="A126" s="40" t="s">
        <v>79</v>
      </c>
      <c r="B126" s="39"/>
      <c r="C126" s="44">
        <v>261800</v>
      </c>
      <c r="D126" s="44"/>
      <c r="E126" s="44">
        <v>186066</v>
      </c>
      <c r="F126" s="45"/>
      <c r="G126" s="78">
        <v>80660</v>
      </c>
      <c r="H126" s="44"/>
      <c r="I126" s="44">
        <v>268050</v>
      </c>
      <c r="J126" s="45"/>
      <c r="K126" s="52">
        <f>(+I126-C126)/C126</f>
        <v>2.3873185637891519E-2</v>
      </c>
      <c r="L126" s="55"/>
      <c r="M126" s="49">
        <f t="shared" si="12"/>
        <v>5.7511928750503629E-4</v>
      </c>
      <c r="O126" s="52">
        <f t="shared" si="13"/>
        <v>0.44061784528070685</v>
      </c>
    </row>
    <row r="127" spans="1:15" x14ac:dyDescent="0.25">
      <c r="A127" s="40" t="s">
        <v>67</v>
      </c>
      <c r="B127" s="39"/>
      <c r="C127" s="44">
        <v>116298</v>
      </c>
      <c r="D127" s="44"/>
      <c r="E127" s="44">
        <v>39885</v>
      </c>
      <c r="F127" s="45"/>
      <c r="G127" s="78">
        <v>34500</v>
      </c>
      <c r="H127" s="44"/>
      <c r="I127" s="44">
        <v>116498</v>
      </c>
      <c r="J127" s="45"/>
      <c r="K127" s="52">
        <f>(+I127-C127)/C127</f>
        <v>1.7197200295791845E-3</v>
      </c>
      <c r="L127" s="55"/>
      <c r="M127" s="49">
        <f t="shared" si="12"/>
        <v>2.4995428746786688E-4</v>
      </c>
      <c r="O127" s="52">
        <f t="shared" si="13"/>
        <v>1.9208474363795913</v>
      </c>
    </row>
    <row r="128" spans="1:15" hidden="1" x14ac:dyDescent="0.25">
      <c r="A128" s="40" t="s">
        <v>68</v>
      </c>
      <c r="B128" s="39"/>
      <c r="C128" s="44">
        <v>0</v>
      </c>
      <c r="D128" s="44"/>
      <c r="E128" s="44">
        <v>0</v>
      </c>
      <c r="F128" s="45"/>
      <c r="G128" s="78">
        <v>0</v>
      </c>
      <c r="H128" s="44"/>
      <c r="I128" s="44">
        <v>0</v>
      </c>
      <c r="J128" s="45"/>
      <c r="K128" s="52">
        <v>0</v>
      </c>
      <c r="L128" s="55"/>
      <c r="M128" s="49">
        <f t="shared" si="12"/>
        <v>0</v>
      </c>
      <c r="O128" s="52" t="e">
        <f t="shared" si="13"/>
        <v>#DIV/0!</v>
      </c>
    </row>
    <row r="129" spans="1:15" x14ac:dyDescent="0.25">
      <c r="A129" s="43" t="s">
        <v>97</v>
      </c>
      <c r="B129" s="42"/>
      <c r="C129" s="72">
        <f>SUM(C124:C128)</f>
        <v>10408279</v>
      </c>
      <c r="D129" s="45"/>
      <c r="E129" s="72">
        <f>SUM(E124:E128)</f>
        <v>4526286</v>
      </c>
      <c r="F129" s="45"/>
      <c r="G129" s="81">
        <f>SUM(G124:G128)</f>
        <v>5062394</v>
      </c>
      <c r="H129" s="72"/>
      <c r="I129" s="72">
        <f>SUM(I124:I128)</f>
        <v>11392189</v>
      </c>
      <c r="J129" s="45"/>
      <c r="K129" s="66">
        <f>(+I129-C129)/C129</f>
        <v>9.4531478258797638E-2</v>
      </c>
      <c r="L129" s="55"/>
      <c r="M129" s="67">
        <f t="shared" si="12"/>
        <v>2.4442707035264733E-2</v>
      </c>
      <c r="O129" s="52">
        <f t="shared" si="13"/>
        <v>1.5168955298008124</v>
      </c>
    </row>
    <row r="130" spans="1:15" x14ac:dyDescent="0.25">
      <c r="A130" s="37"/>
      <c r="B130" s="39"/>
      <c r="C130" s="71"/>
      <c r="D130" s="71"/>
      <c r="E130" s="71"/>
      <c r="F130" s="82"/>
      <c r="G130" s="80"/>
      <c r="H130" s="71"/>
      <c r="I130" s="71"/>
      <c r="J130" s="82"/>
      <c r="K130" s="52"/>
      <c r="L130" s="55"/>
      <c r="M130" s="49"/>
      <c r="O130" s="52"/>
    </row>
    <row r="131" spans="1:15" x14ac:dyDescent="0.25">
      <c r="A131" s="50" t="s">
        <v>98</v>
      </c>
      <c r="B131" s="39"/>
      <c r="C131" s="71"/>
      <c r="D131" s="71"/>
      <c r="E131" s="71"/>
      <c r="F131" s="82"/>
      <c r="G131" s="80"/>
      <c r="H131" s="71"/>
      <c r="I131" s="71"/>
      <c r="J131" s="82"/>
      <c r="K131" s="52"/>
      <c r="L131" s="55"/>
      <c r="M131" s="49"/>
      <c r="O131" s="52"/>
    </row>
    <row r="132" spans="1:15" x14ac:dyDescent="0.25">
      <c r="A132" s="40" t="s">
        <v>92</v>
      </c>
      <c r="B132" s="39"/>
      <c r="C132" s="44">
        <v>5158830</v>
      </c>
      <c r="D132" s="44"/>
      <c r="E132" s="44">
        <f>3794064-25114-9157</f>
        <v>3759793</v>
      </c>
      <c r="F132" s="45"/>
      <c r="G132" s="78">
        <v>4854598</v>
      </c>
      <c r="H132" s="44"/>
      <c r="I132" s="44">
        <v>6486710</v>
      </c>
      <c r="J132" s="45"/>
      <c r="K132" s="52">
        <f>(+I132-C132)/C132</f>
        <v>0.25739944909989282</v>
      </c>
      <c r="L132" s="55"/>
      <c r="M132" s="49">
        <f>+I132/I$160</f>
        <v>1.3917672200902047E-2</v>
      </c>
      <c r="O132" s="52">
        <f>(+I132-E132)/E132</f>
        <v>0.72528381216731874</v>
      </c>
    </row>
    <row r="133" spans="1:15" x14ac:dyDescent="0.25">
      <c r="A133" s="40" t="s">
        <v>65</v>
      </c>
      <c r="B133" s="39"/>
      <c r="C133" s="44">
        <v>621994</v>
      </c>
      <c r="D133" s="44"/>
      <c r="E133" s="44">
        <v>183998</v>
      </c>
      <c r="F133" s="45"/>
      <c r="G133" s="78">
        <v>374822</v>
      </c>
      <c r="H133" s="44"/>
      <c r="I133" s="44">
        <v>511994</v>
      </c>
      <c r="J133" s="45"/>
      <c r="K133" s="52">
        <f>(+I133-C133)/C133</f>
        <v>-0.17685058055222397</v>
      </c>
      <c r="L133" s="55"/>
      <c r="M133" s="49">
        <f>+I133/I$160</f>
        <v>1.0985175321277878E-3</v>
      </c>
      <c r="O133" s="52">
        <f>(+I133-E133)/E133</f>
        <v>1.782606332677529</v>
      </c>
    </row>
    <row r="134" spans="1:15" x14ac:dyDescent="0.25">
      <c r="A134" s="40" t="s">
        <v>79</v>
      </c>
      <c r="B134" s="39"/>
      <c r="C134" s="44">
        <v>372806</v>
      </c>
      <c r="D134" s="44"/>
      <c r="E134" s="44">
        <v>138473</v>
      </c>
      <c r="F134" s="45"/>
      <c r="G134" s="78">
        <v>162866</v>
      </c>
      <c r="H134" s="44"/>
      <c r="I134" s="44">
        <v>385241</v>
      </c>
      <c r="J134" s="45"/>
      <c r="K134" s="52">
        <f>(+I134-C134)/C134</f>
        <v>3.335514986346786E-2</v>
      </c>
      <c r="L134" s="55"/>
      <c r="M134" s="49">
        <f>+I134/I$160</f>
        <v>8.2656045304132695E-4</v>
      </c>
      <c r="O134" s="52">
        <f>(+I134-E134)/E134</f>
        <v>1.782065817885075</v>
      </c>
    </row>
    <row r="135" spans="1:15" x14ac:dyDescent="0.25">
      <c r="A135" s="40" t="s">
        <v>67</v>
      </c>
      <c r="B135" s="39"/>
      <c r="C135" s="44">
        <v>533969</v>
      </c>
      <c r="D135" s="44"/>
      <c r="E135" s="44">
        <v>418053</v>
      </c>
      <c r="F135" s="45"/>
      <c r="G135" s="78">
        <v>455135</v>
      </c>
      <c r="H135" s="44"/>
      <c r="I135" s="44">
        <v>558348</v>
      </c>
      <c r="J135" s="45"/>
      <c r="K135" s="52">
        <f>(+I135-C135)/C135</f>
        <v>4.5656208506486329E-2</v>
      </c>
      <c r="L135" s="55"/>
      <c r="M135" s="49">
        <f>+I135/I$160</f>
        <v>1.1979731540379109E-3</v>
      </c>
      <c r="O135" s="52">
        <f>(+I135-E135)/E135</f>
        <v>0.33559142022662197</v>
      </c>
    </row>
    <row r="136" spans="1:15" x14ac:dyDescent="0.25">
      <c r="A136" s="43" t="s">
        <v>99</v>
      </c>
      <c r="B136" s="42"/>
      <c r="C136" s="72">
        <f>SUM(C132:C135)</f>
        <v>6687599</v>
      </c>
      <c r="D136" s="45"/>
      <c r="E136" s="72">
        <f>SUM(E132:E135)</f>
        <v>4500317</v>
      </c>
      <c r="F136" s="45"/>
      <c r="G136" s="81">
        <f>SUM(G132:G135)</f>
        <v>5847421</v>
      </c>
      <c r="H136" s="72"/>
      <c r="I136" s="72">
        <f>SUM(I132:I135)</f>
        <v>7942293</v>
      </c>
      <c r="J136" s="45"/>
      <c r="K136" s="66">
        <f>(+I136-C136)/C136</f>
        <v>0.18761501698890737</v>
      </c>
      <c r="L136" s="55"/>
      <c r="M136" s="67">
        <f>+I136/I$160</f>
        <v>1.7040723340109074E-2</v>
      </c>
      <c r="O136" s="52">
        <f>(+I136-E136)/E136</f>
        <v>0.76482967755382569</v>
      </c>
    </row>
    <row r="137" spans="1:15" s="166" customFormat="1" x14ac:dyDescent="0.25">
      <c r="A137" s="43"/>
      <c r="B137" s="42"/>
      <c r="C137" s="45"/>
      <c r="D137" s="45"/>
      <c r="E137" s="45"/>
      <c r="F137" s="45"/>
      <c r="G137" s="79"/>
      <c r="H137" s="45"/>
      <c r="I137" s="45"/>
      <c r="J137" s="45"/>
      <c r="K137" s="55"/>
      <c r="L137" s="55"/>
      <c r="M137" s="68"/>
      <c r="O137" s="52"/>
    </row>
    <row r="138" spans="1:15" s="166" customFormat="1" x14ac:dyDescent="0.25">
      <c r="A138" s="50" t="s">
        <v>184</v>
      </c>
      <c r="B138" s="39"/>
      <c r="C138" s="44"/>
      <c r="D138" s="44"/>
      <c r="E138" s="44"/>
      <c r="F138" s="45"/>
      <c r="G138" s="78"/>
      <c r="H138" s="44"/>
      <c r="I138" s="44"/>
      <c r="J138" s="45"/>
      <c r="K138" s="52"/>
      <c r="L138" s="55"/>
      <c r="M138" s="51"/>
      <c r="O138" s="52"/>
    </row>
    <row r="139" spans="1:15" s="166" customFormat="1" hidden="1" x14ac:dyDescent="0.25">
      <c r="A139" s="40" t="s">
        <v>64</v>
      </c>
      <c r="B139" s="39"/>
      <c r="C139" s="44">
        <v>0</v>
      </c>
      <c r="D139" s="44"/>
      <c r="E139" s="44">
        <v>27800</v>
      </c>
      <c r="F139" s="45"/>
      <c r="G139" s="78">
        <v>23839</v>
      </c>
      <c r="H139" s="44"/>
      <c r="I139" s="44">
        <v>0</v>
      </c>
      <c r="J139" s="45"/>
      <c r="K139" s="52" t="e">
        <f>(+I139-C139)/C139</f>
        <v>#DIV/0!</v>
      </c>
      <c r="L139" s="55"/>
      <c r="M139" s="49">
        <f>+I139/I$160</f>
        <v>0</v>
      </c>
      <c r="O139" s="52">
        <f>(+I139-E139)/E139</f>
        <v>-1</v>
      </c>
    </row>
    <row r="140" spans="1:15" s="166" customFormat="1" x14ac:dyDescent="0.25">
      <c r="A140" s="40" t="s">
        <v>185</v>
      </c>
      <c r="B140" s="39"/>
      <c r="C140" s="44">
        <v>1100000</v>
      </c>
      <c r="D140" s="44"/>
      <c r="E140" s="44">
        <v>0</v>
      </c>
      <c r="F140" s="45"/>
      <c r="G140" s="78">
        <v>0</v>
      </c>
      <c r="H140" s="44"/>
      <c r="I140" s="44">
        <v>658426</v>
      </c>
      <c r="J140" s="45"/>
      <c r="K140" s="52">
        <f>(+I140-C140)/C140</f>
        <v>-0.40143090909090912</v>
      </c>
      <c r="L140" s="55"/>
      <c r="M140" s="49">
        <f>+I140/I$160</f>
        <v>1.4126972281096476E-3</v>
      </c>
      <c r="O140" s="52" t="e">
        <f>(+I140-E140)/E140</f>
        <v>#DIV/0!</v>
      </c>
    </row>
    <row r="141" spans="1:15" s="166" customFormat="1" x14ac:dyDescent="0.25">
      <c r="A141" s="43" t="s">
        <v>194</v>
      </c>
      <c r="B141" s="42"/>
      <c r="C141" s="72">
        <f>SUM(C139:C140)</f>
        <v>1100000</v>
      </c>
      <c r="D141" s="45"/>
      <c r="E141" s="72">
        <f>SUM(E139:E139)</f>
        <v>27800</v>
      </c>
      <c r="F141" s="45"/>
      <c r="G141" s="81">
        <f>SUM(G139:G139)</f>
        <v>23839</v>
      </c>
      <c r="H141" s="72"/>
      <c r="I141" s="72">
        <f>SUM(I139:I140)</f>
        <v>658426</v>
      </c>
      <c r="J141" s="45"/>
      <c r="K141" s="66">
        <f>(+I141-C141)/C141</f>
        <v>-0.40143090909090912</v>
      </c>
      <c r="L141" s="55"/>
      <c r="M141" s="67">
        <f>+I141/I$160</f>
        <v>1.4126972281096476E-3</v>
      </c>
      <c r="O141" s="52">
        <f>(+I141-E141)/E141</f>
        <v>22.684388489208633</v>
      </c>
    </row>
    <row r="142" spans="1:15" x14ac:dyDescent="0.25">
      <c r="A142" s="37"/>
      <c r="B142" s="39"/>
      <c r="C142" s="71"/>
      <c r="D142" s="71"/>
      <c r="E142" s="71"/>
      <c r="F142" s="82"/>
      <c r="G142" s="80"/>
      <c r="H142" s="71"/>
      <c r="I142" s="71"/>
      <c r="J142" s="82"/>
      <c r="K142" s="52"/>
      <c r="L142" s="55"/>
      <c r="M142" s="49"/>
      <c r="O142" s="52"/>
    </row>
    <row r="143" spans="1:15" hidden="1" x14ac:dyDescent="0.25">
      <c r="A143" s="50" t="s">
        <v>179</v>
      </c>
      <c r="B143" s="39"/>
      <c r="C143" s="44"/>
      <c r="D143" s="44"/>
      <c r="E143" s="44"/>
      <c r="F143" s="45"/>
      <c r="G143" s="78"/>
      <c r="H143" s="44"/>
      <c r="I143" s="44"/>
      <c r="J143" s="45"/>
      <c r="K143" s="52"/>
      <c r="L143" s="55"/>
      <c r="M143" s="51"/>
      <c r="O143" s="52"/>
    </row>
    <row r="144" spans="1:15" hidden="1" x14ac:dyDescent="0.25">
      <c r="A144" s="40" t="s">
        <v>64</v>
      </c>
      <c r="B144" s="39"/>
      <c r="C144" s="44">
        <v>0</v>
      </c>
      <c r="D144" s="44"/>
      <c r="E144" s="44">
        <v>27800</v>
      </c>
      <c r="F144" s="45"/>
      <c r="G144" s="78">
        <v>23839</v>
      </c>
      <c r="H144" s="44"/>
      <c r="I144" s="44">
        <v>0</v>
      </c>
      <c r="J144" s="45"/>
      <c r="K144" s="52" t="e">
        <f>(+I144-C144)/C144</f>
        <v>#DIV/0!</v>
      </c>
      <c r="L144" s="55"/>
      <c r="M144" s="49">
        <f>+I144/I$160</f>
        <v>0</v>
      </c>
      <c r="O144" s="52">
        <f>(+I144-E144)/E144</f>
        <v>-1</v>
      </c>
    </row>
    <row r="145" spans="1:15" s="31" customFormat="1" hidden="1" x14ac:dyDescent="0.25">
      <c r="A145" s="40" t="s">
        <v>68</v>
      </c>
      <c r="B145" s="39"/>
      <c r="C145" s="44">
        <v>0</v>
      </c>
      <c r="D145" s="44"/>
      <c r="E145" s="44">
        <v>0</v>
      </c>
      <c r="F145" s="45"/>
      <c r="G145" s="78">
        <v>0</v>
      </c>
      <c r="H145" s="44"/>
      <c r="I145" s="44">
        <v>0</v>
      </c>
      <c r="J145" s="45"/>
      <c r="K145" s="52">
        <v>0</v>
      </c>
      <c r="L145" s="55"/>
      <c r="M145" s="49">
        <f>+I145/I$160</f>
        <v>0</v>
      </c>
      <c r="O145" s="52" t="e">
        <f>(+I145-E145)/E145</f>
        <v>#DIV/0!</v>
      </c>
    </row>
    <row r="146" spans="1:15" hidden="1" x14ac:dyDescent="0.25">
      <c r="A146" s="43" t="s">
        <v>100</v>
      </c>
      <c r="B146" s="42"/>
      <c r="C146" s="72">
        <f>SUM(C144:C145)</f>
        <v>0</v>
      </c>
      <c r="D146" s="45"/>
      <c r="E146" s="72">
        <f>SUM(E144:E144)</f>
        <v>27800</v>
      </c>
      <c r="F146" s="45"/>
      <c r="G146" s="81">
        <f>SUM(G144:G144)</f>
        <v>23839</v>
      </c>
      <c r="H146" s="72"/>
      <c r="I146" s="72">
        <f>SUM(I144:I145)</f>
        <v>0</v>
      </c>
      <c r="J146" s="45"/>
      <c r="K146" s="66" t="e">
        <f>(+I146-C146)/C146</f>
        <v>#DIV/0!</v>
      </c>
      <c r="L146" s="55"/>
      <c r="M146" s="67">
        <f>+I146/I$160</f>
        <v>0</v>
      </c>
      <c r="O146" s="52">
        <f>(+I146-E146)/E146</f>
        <v>-1</v>
      </c>
    </row>
    <row r="147" spans="1:15" hidden="1" x14ac:dyDescent="0.25">
      <c r="A147" s="43"/>
      <c r="B147" s="42"/>
      <c r="C147" s="45"/>
      <c r="D147" s="45"/>
      <c r="E147" s="45"/>
      <c r="F147" s="45"/>
      <c r="G147" s="79"/>
      <c r="H147" s="45"/>
      <c r="I147" s="45"/>
      <c r="J147" s="45"/>
      <c r="K147" s="55"/>
      <c r="L147" s="55"/>
      <c r="M147" s="68"/>
      <c r="O147" s="55"/>
    </row>
    <row r="148" spans="1:15" x14ac:dyDescent="0.25">
      <c r="A148" s="50" t="s">
        <v>101</v>
      </c>
      <c r="B148" s="39"/>
      <c r="C148" s="71"/>
      <c r="D148" s="71"/>
      <c r="E148" s="71"/>
      <c r="F148" s="82"/>
      <c r="G148" s="80"/>
      <c r="H148" s="71"/>
      <c r="I148" s="71"/>
      <c r="J148" s="82"/>
      <c r="K148" s="52"/>
      <c r="L148" s="55"/>
      <c r="M148" s="70"/>
      <c r="O148" s="52"/>
    </row>
    <row r="149" spans="1:15" x14ac:dyDescent="0.25">
      <c r="A149" s="40" t="s">
        <v>102</v>
      </c>
      <c r="B149" s="39"/>
      <c r="C149" s="44">
        <v>210000</v>
      </c>
      <c r="D149" s="44"/>
      <c r="E149" s="44">
        <v>201500</v>
      </c>
      <c r="F149" s="82"/>
      <c r="G149" s="78">
        <v>220000</v>
      </c>
      <c r="H149" s="71"/>
      <c r="I149" s="44">
        <v>210000</v>
      </c>
      <c r="J149" s="45"/>
      <c r="K149" s="52">
        <f>(+I149-C149)/C149</f>
        <v>0</v>
      </c>
      <c r="L149" s="55"/>
      <c r="M149" s="49">
        <f>+I149/I$160</f>
        <v>4.5056911164356505E-4</v>
      </c>
      <c r="O149" s="52">
        <f>(+I149-E149)/E149</f>
        <v>4.2183622828784122E-2</v>
      </c>
    </row>
    <row r="150" spans="1:15" x14ac:dyDescent="0.25">
      <c r="A150" s="43" t="s">
        <v>103</v>
      </c>
      <c r="B150" s="42"/>
      <c r="C150" s="72">
        <f>SUM(C149)</f>
        <v>210000</v>
      </c>
      <c r="D150" s="45"/>
      <c r="E150" s="72">
        <f>SUM(E149)</f>
        <v>201500</v>
      </c>
      <c r="F150" s="82"/>
      <c r="G150" s="81">
        <f>SUM(G149)</f>
        <v>220000</v>
      </c>
      <c r="H150" s="73"/>
      <c r="I150" s="72">
        <f>SUM(I149)</f>
        <v>210000</v>
      </c>
      <c r="J150" s="45"/>
      <c r="K150" s="66">
        <f>(+I150-C150)/C150</f>
        <v>0</v>
      </c>
      <c r="L150" s="55"/>
      <c r="M150" s="67">
        <f>+I150/I$160</f>
        <v>4.5056911164356505E-4</v>
      </c>
      <c r="O150" s="52">
        <f>(+I150-E150)/E150</f>
        <v>4.2183622828784122E-2</v>
      </c>
    </row>
    <row r="151" spans="1:15" x14ac:dyDescent="0.25">
      <c r="A151" s="37"/>
      <c r="B151" s="39"/>
      <c r="C151" s="71"/>
      <c r="D151" s="71"/>
      <c r="E151" s="71"/>
      <c r="F151" s="82"/>
      <c r="G151" s="80"/>
      <c r="H151" s="71"/>
      <c r="I151" s="71"/>
      <c r="J151" s="82"/>
      <c r="K151" s="52"/>
      <c r="L151" s="55"/>
      <c r="M151" s="70"/>
      <c r="O151" s="52"/>
    </row>
    <row r="152" spans="1:15" x14ac:dyDescent="0.25">
      <c r="A152" s="50" t="s">
        <v>104</v>
      </c>
      <c r="B152" s="43"/>
      <c r="C152" s="71"/>
      <c r="D152" s="71"/>
      <c r="E152" s="71"/>
      <c r="F152" s="82"/>
      <c r="G152" s="80"/>
      <c r="H152" s="71"/>
      <c r="I152" s="71"/>
      <c r="J152" s="82"/>
      <c r="K152" s="52"/>
      <c r="L152" s="55"/>
      <c r="M152" s="70"/>
      <c r="O152" s="52"/>
    </row>
    <row r="153" spans="1:15" x14ac:dyDescent="0.25">
      <c r="A153" s="40" t="s">
        <v>65</v>
      </c>
      <c r="B153" s="39"/>
      <c r="C153" s="44">
        <v>200000</v>
      </c>
      <c r="D153" s="44"/>
      <c r="E153" s="44">
        <v>141510</v>
      </c>
      <c r="F153" s="82"/>
      <c r="G153" s="78">
        <v>520000</v>
      </c>
      <c r="H153" s="71"/>
      <c r="I153" s="44">
        <v>200000</v>
      </c>
      <c r="J153" s="45"/>
      <c r="K153" s="52">
        <f>(+I153-C153)/C153</f>
        <v>0</v>
      </c>
      <c r="L153" s="55"/>
      <c r="M153" s="49">
        <f>+I153/I$160</f>
        <v>4.2911343966053818E-4</v>
      </c>
      <c r="O153" s="52">
        <f>(+I153-E153)/E153</f>
        <v>0.41332768002261322</v>
      </c>
    </row>
    <row r="154" spans="1:15" x14ac:dyDescent="0.25">
      <c r="A154" s="43" t="s">
        <v>105</v>
      </c>
      <c r="B154" s="43"/>
      <c r="C154" s="72">
        <f>SUM(C153)</f>
        <v>200000</v>
      </c>
      <c r="D154" s="45"/>
      <c r="E154" s="72">
        <f>SUM(E153)</f>
        <v>141510</v>
      </c>
      <c r="F154" s="82"/>
      <c r="G154" s="81">
        <f>SUM(G153)</f>
        <v>520000</v>
      </c>
      <c r="H154" s="73"/>
      <c r="I154" s="72">
        <f>SUM(I153)</f>
        <v>200000</v>
      </c>
      <c r="J154" s="45"/>
      <c r="K154" s="66">
        <f>(+I154-C154)/C154</f>
        <v>0</v>
      </c>
      <c r="L154" s="55"/>
      <c r="M154" s="67">
        <f>+I154/I$160</f>
        <v>4.2911343966053818E-4</v>
      </c>
      <c r="O154" s="52">
        <f>(+I154-E154)/E154</f>
        <v>0.41332768002261322</v>
      </c>
    </row>
    <row r="155" spans="1:15" x14ac:dyDescent="0.25">
      <c r="A155" s="37"/>
      <c r="B155" s="39"/>
      <c r="C155" s="44"/>
      <c r="D155" s="44"/>
      <c r="E155" s="44"/>
      <c r="F155" s="82"/>
      <c r="G155" s="78"/>
      <c r="H155" s="71"/>
      <c r="I155" s="44"/>
      <c r="J155" s="136"/>
      <c r="K155" s="52"/>
      <c r="L155" s="55"/>
      <c r="M155" s="49"/>
      <c r="O155" s="52"/>
    </row>
    <row r="156" spans="1:15" x14ac:dyDescent="0.25">
      <c r="A156" s="50" t="s">
        <v>106</v>
      </c>
      <c r="B156" s="43"/>
      <c r="C156" s="71"/>
      <c r="D156" s="71"/>
      <c r="E156" s="71"/>
      <c r="F156" s="82"/>
      <c r="G156" s="80"/>
      <c r="H156" s="71"/>
      <c r="I156" s="71"/>
      <c r="J156" s="82"/>
      <c r="K156" s="52"/>
      <c r="L156" s="55"/>
      <c r="M156" s="70"/>
      <c r="O156" s="52"/>
    </row>
    <row r="157" spans="1:15" x14ac:dyDescent="0.25">
      <c r="A157" s="40" t="s">
        <v>65</v>
      </c>
      <c r="B157" s="39"/>
      <c r="C157" s="44">
        <v>2952800</v>
      </c>
      <c r="D157" s="44"/>
      <c r="E157" s="44">
        <v>2768281</v>
      </c>
      <c r="F157" s="82"/>
      <c r="G157" s="78">
        <v>3100000</v>
      </c>
      <c r="H157" s="71"/>
      <c r="I157" s="44">
        <v>2949800</v>
      </c>
      <c r="J157" s="45"/>
      <c r="K157" s="52">
        <f>(+I157-C157)/C157</f>
        <v>-1.0159848279599024E-3</v>
      </c>
      <c r="L157" s="55"/>
      <c r="M157" s="49">
        <f>+I157/I$160</f>
        <v>6.3289941215532771E-3</v>
      </c>
      <c r="O157" s="52">
        <f>(+I157-E157)/E157</f>
        <v>6.5571016815128239E-2</v>
      </c>
    </row>
    <row r="158" spans="1:15" x14ac:dyDescent="0.25">
      <c r="A158" s="43" t="s">
        <v>107</v>
      </c>
      <c r="B158" s="43"/>
      <c r="C158" s="72">
        <f>SUM(C157)</f>
        <v>2952800</v>
      </c>
      <c r="D158" s="45"/>
      <c r="E158" s="72">
        <f>SUM(E157)</f>
        <v>2768281</v>
      </c>
      <c r="F158" s="82"/>
      <c r="G158" s="81">
        <f>SUM(G157)</f>
        <v>3100000</v>
      </c>
      <c r="H158" s="73"/>
      <c r="I158" s="72">
        <f>SUM(I157)</f>
        <v>2949800</v>
      </c>
      <c r="J158" s="45"/>
      <c r="K158" s="66">
        <f>(+I158-C158)/C158</f>
        <v>-1.0159848279599024E-3</v>
      </c>
      <c r="L158" s="55"/>
      <c r="M158" s="67">
        <f>+I158/I$160</f>
        <v>6.3289941215532771E-3</v>
      </c>
      <c r="O158" s="52">
        <f>(+I158-E158)/E158</f>
        <v>6.5571016815128239E-2</v>
      </c>
    </row>
    <row r="159" spans="1:15" s="166" customFormat="1" x14ac:dyDescent="0.25">
      <c r="A159" s="43"/>
      <c r="B159" s="43"/>
      <c r="C159" s="227"/>
      <c r="D159" s="45"/>
      <c r="E159" s="227"/>
      <c r="F159" s="82"/>
      <c r="G159" s="227"/>
      <c r="H159" s="228"/>
      <c r="I159" s="227"/>
      <c r="J159" s="45"/>
      <c r="K159" s="229"/>
      <c r="L159" s="55"/>
      <c r="M159" s="230"/>
      <c r="O159" s="52"/>
    </row>
    <row r="160" spans="1:15" ht="15.75" thickBot="1" x14ac:dyDescent="0.3">
      <c r="A160" s="43" t="s">
        <v>108</v>
      </c>
      <c r="B160" s="42"/>
      <c r="C160" s="233">
        <f>+C158+C154+C150+C146+C136+C129+C121+C105+C97+C90+C74+C69+C62+C49+C42+C35+C28+C21+C14+C78+C141+C159</f>
        <v>460288474</v>
      </c>
      <c r="D160" s="225"/>
      <c r="E160" s="226" t="e">
        <f>+E158+E154+E150+E146+E136+E129+E121+E105+E97+E90+E74+E69+E62+E49+E42+E35+E28+E21+E14+#REF!</f>
        <v>#REF!</v>
      </c>
      <c r="F160" s="225"/>
      <c r="G160" s="226" t="e">
        <f>+G158+G154+G150+G146+G136+G129+G121+G105+G97+G90+G74+G69+G62+G49+G42+G35+G28+G21+G14+#REF!</f>
        <v>#REF!</v>
      </c>
      <c r="H160" s="226"/>
      <c r="I160" s="233">
        <f>I14+I21+I28+I35+I42+I49+I62+I69+I74+I82+I90+I97+I105+I121+I129+I136+I141+I150+I154+I158</f>
        <v>466077222.27999997</v>
      </c>
      <c r="J160" s="45"/>
      <c r="K160" s="56">
        <f>(+I160-C160)/C160</f>
        <v>1.2576348544412979E-2</v>
      </c>
      <c r="L160" s="55"/>
      <c r="M160" s="76">
        <f>+I160/I$160</f>
        <v>1</v>
      </c>
      <c r="O160" s="52" t="e">
        <f>(+I160-E160)/E160</f>
        <v>#REF!</v>
      </c>
    </row>
    <row r="161" spans="1:13" ht="15.75" thickTop="1" x14ac:dyDescent="0.25">
      <c r="C161" s="84"/>
      <c r="G161" s="84"/>
      <c r="H161" s="84"/>
      <c r="J161" s="131"/>
      <c r="K161" s="84"/>
      <c r="L161" s="131"/>
      <c r="M161" s="84"/>
    </row>
    <row r="162" spans="1:13" x14ac:dyDescent="0.25">
      <c r="A162" s="283" t="s">
        <v>215</v>
      </c>
      <c r="B162" s="283"/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</row>
  </sheetData>
  <mergeCells count="14">
    <mergeCell ref="A162:M162"/>
    <mergeCell ref="A111:M111"/>
    <mergeCell ref="A1:M1"/>
    <mergeCell ref="A2:M2"/>
    <mergeCell ref="A3:M3"/>
    <mergeCell ref="A52:M52"/>
    <mergeCell ref="A53:M53"/>
    <mergeCell ref="A55:M55"/>
    <mergeCell ref="A108:M108"/>
    <mergeCell ref="A109:M109"/>
    <mergeCell ref="A54:M54"/>
    <mergeCell ref="A110:M110"/>
    <mergeCell ref="A51:M51"/>
    <mergeCell ref="A107:M107"/>
  </mergeCells>
  <printOptions horizontalCentered="1"/>
  <pageMargins left="0.7" right="0.7" top="0.75" bottom="0.75" header="0.3" footer="0.3"/>
  <pageSetup scale="93" firstPageNumber="3" orientation="portrait" r:id="rId1"/>
  <rowBreaks count="2" manualBreakCount="2">
    <brk id="51" max="12" man="1"/>
    <brk id="107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zoomScale="125" zoomScaleNormal="125" workbookViewId="0">
      <selection activeCell="E1" sqref="E1"/>
    </sheetView>
  </sheetViews>
  <sheetFormatPr defaultRowHeight="15" x14ac:dyDescent="0.25"/>
  <cols>
    <col min="1" max="1" width="4.42578125" customWidth="1"/>
    <col min="2" max="2" width="20.140625" bestFit="1" customWidth="1"/>
    <col min="3" max="3" width="12.5703125" style="84" customWidth="1"/>
    <col min="4" max="4" width="1.28515625" style="131" customWidth="1"/>
    <col min="5" max="5" width="12.5703125" style="84" customWidth="1"/>
    <col min="6" max="6" width="1.28515625" style="131" customWidth="1"/>
    <col min="7" max="7" width="12.7109375" style="84" hidden="1" customWidth="1"/>
    <col min="8" max="8" width="1.28515625" style="131" hidden="1" customWidth="1"/>
    <col min="9" max="9" width="13.85546875" style="84" bestFit="1" customWidth="1"/>
    <col min="10" max="10" width="1.5703125" style="132" customWidth="1"/>
    <col min="11" max="11" width="11.42578125" customWidth="1"/>
    <col min="12" max="12" width="1.28515625" style="131" customWidth="1"/>
  </cols>
  <sheetData>
    <row r="1" spans="1:13" x14ac:dyDescent="0.25">
      <c r="A1" s="88" t="s">
        <v>0</v>
      </c>
      <c r="B1" s="88"/>
      <c r="C1" s="181"/>
      <c r="D1" s="183"/>
      <c r="E1" s="184"/>
      <c r="F1" s="189"/>
      <c r="G1" s="182"/>
      <c r="H1" s="185"/>
      <c r="I1" s="182"/>
      <c r="J1" s="108"/>
      <c r="K1" s="90"/>
      <c r="L1" s="113"/>
      <c r="M1" s="90"/>
    </row>
    <row r="2" spans="1:13" x14ac:dyDescent="0.25">
      <c r="A2" s="91" t="s">
        <v>111</v>
      </c>
      <c r="B2" s="89"/>
      <c r="C2" s="182"/>
      <c r="D2" s="185"/>
      <c r="E2" s="186"/>
      <c r="F2" s="190"/>
      <c r="G2" s="182"/>
      <c r="H2" s="185"/>
      <c r="I2" s="182"/>
      <c r="J2" s="108"/>
      <c r="K2" s="90"/>
      <c r="L2" s="113"/>
      <c r="M2" s="90"/>
    </row>
    <row r="3" spans="1:13" x14ac:dyDescent="0.25">
      <c r="A3" s="92"/>
      <c r="B3" s="87"/>
      <c r="C3" s="147"/>
      <c r="D3" s="110"/>
      <c r="E3" s="187"/>
      <c r="F3" s="187"/>
      <c r="G3" s="147"/>
      <c r="H3" s="110"/>
      <c r="I3" s="147"/>
      <c r="J3" s="112"/>
      <c r="K3" s="93"/>
      <c r="L3" s="129"/>
      <c r="M3" s="93"/>
    </row>
    <row r="4" spans="1:13" x14ac:dyDescent="0.25">
      <c r="A4" s="87"/>
      <c r="B4" s="87"/>
      <c r="C4" s="32" t="s">
        <v>171</v>
      </c>
      <c r="D4" s="41"/>
      <c r="E4" s="32" t="s">
        <v>171</v>
      </c>
      <c r="F4" s="41"/>
      <c r="G4" s="32" t="s">
        <v>171</v>
      </c>
      <c r="H4" s="41"/>
      <c r="I4" s="32" t="s">
        <v>171</v>
      </c>
      <c r="J4" s="39"/>
      <c r="K4" s="57" t="s">
        <v>59</v>
      </c>
      <c r="L4" s="130"/>
      <c r="M4" s="58"/>
    </row>
    <row r="5" spans="1:13" x14ac:dyDescent="0.25">
      <c r="A5" s="87"/>
      <c r="B5" s="87"/>
      <c r="C5" s="180" t="s">
        <v>1</v>
      </c>
      <c r="D5" s="41"/>
      <c r="E5" s="180" t="s">
        <v>175</v>
      </c>
      <c r="F5" s="38"/>
      <c r="G5" s="193" t="s">
        <v>54</v>
      </c>
      <c r="H5" s="41"/>
      <c r="I5" s="180" t="s">
        <v>175</v>
      </c>
      <c r="J5" s="39"/>
      <c r="K5" s="57" t="s">
        <v>60</v>
      </c>
      <c r="L5" s="130"/>
      <c r="M5" s="59" t="s">
        <v>59</v>
      </c>
    </row>
    <row r="6" spans="1:13" x14ac:dyDescent="0.25">
      <c r="A6" s="87"/>
      <c r="B6" s="87"/>
      <c r="C6" s="60" t="s">
        <v>183</v>
      </c>
      <c r="D6" s="41"/>
      <c r="E6" s="60" t="s">
        <v>189</v>
      </c>
      <c r="F6" s="42"/>
      <c r="G6" s="60" t="s">
        <v>189</v>
      </c>
      <c r="H6" s="41"/>
      <c r="I6" s="60" t="s">
        <v>193</v>
      </c>
      <c r="J6" s="42"/>
      <c r="K6" s="62" t="s">
        <v>61</v>
      </c>
      <c r="L6" s="130"/>
      <c r="M6" s="63" t="s">
        <v>62</v>
      </c>
    </row>
    <row r="7" spans="1:13" x14ac:dyDescent="0.25">
      <c r="A7" s="87"/>
      <c r="B7" s="87"/>
      <c r="C7" s="146"/>
      <c r="D7" s="110"/>
      <c r="E7" s="147"/>
      <c r="F7" s="191"/>
      <c r="G7" s="147"/>
      <c r="H7" s="110"/>
      <c r="I7" s="147"/>
      <c r="J7" s="112"/>
      <c r="K7" s="93"/>
      <c r="L7" s="129"/>
      <c r="M7" s="93"/>
    </row>
    <row r="8" spans="1:13" x14ac:dyDescent="0.25">
      <c r="A8" s="87" t="s">
        <v>112</v>
      </c>
      <c r="B8" s="87" t="s">
        <v>113</v>
      </c>
      <c r="C8" s="85">
        <v>366251963</v>
      </c>
      <c r="D8" s="109"/>
      <c r="E8" s="85">
        <v>381955548</v>
      </c>
      <c r="F8" s="133"/>
      <c r="G8" s="85">
        <v>376600000</v>
      </c>
      <c r="H8" s="133"/>
      <c r="I8" s="85">
        <v>386475510</v>
      </c>
      <c r="J8" s="103"/>
      <c r="K8" s="95">
        <f>(+I8-E8)/E8</f>
        <v>1.1833738307160288E-2</v>
      </c>
      <c r="L8" s="111"/>
      <c r="M8" s="96">
        <f t="shared" ref="M8:M13" si="0">+I8/I$15</f>
        <v>0.82920917720330356</v>
      </c>
    </row>
    <row r="9" spans="1:13" x14ac:dyDescent="0.25">
      <c r="A9" s="87" t="s">
        <v>114</v>
      </c>
      <c r="B9" s="87" t="s">
        <v>115</v>
      </c>
      <c r="C9" s="97">
        <v>51405880</v>
      </c>
      <c r="D9" s="102"/>
      <c r="E9" s="97">
        <v>55365472</v>
      </c>
      <c r="F9" s="102"/>
      <c r="G9" s="97">
        <v>51000000</v>
      </c>
      <c r="H9" s="102"/>
      <c r="I9" s="97">
        <v>57621770.280000001</v>
      </c>
      <c r="J9" s="103"/>
      <c r="K9" s="95">
        <f t="shared" ref="K9:K13" si="1">(+I9-E9)/E9</f>
        <v>4.0752804925062343E-2</v>
      </c>
      <c r="L9" s="111"/>
      <c r="M9" s="96">
        <f t="shared" si="0"/>
        <v>0.12363138022090085</v>
      </c>
    </row>
    <row r="10" spans="1:13" x14ac:dyDescent="0.25">
      <c r="A10" s="87" t="s">
        <v>116</v>
      </c>
      <c r="B10" s="87" t="s">
        <v>117</v>
      </c>
      <c r="C10" s="97">
        <v>12143035</v>
      </c>
      <c r="D10" s="102"/>
      <c r="E10" s="97">
        <v>15428486</v>
      </c>
      <c r="F10" s="102"/>
      <c r="G10" s="97">
        <v>13500000</v>
      </c>
      <c r="H10" s="102"/>
      <c r="I10" s="97">
        <v>14903386</v>
      </c>
      <c r="J10" s="172"/>
      <c r="K10" s="95">
        <f t="shared" si="1"/>
        <v>-3.403444770925676E-2</v>
      </c>
      <c r="L10" s="111"/>
      <c r="M10" s="96">
        <f t="shared" si="0"/>
        <v>3.1976216145243548E-2</v>
      </c>
    </row>
    <row r="11" spans="1:13" x14ac:dyDescent="0.25">
      <c r="A11" s="87" t="s">
        <v>118</v>
      </c>
      <c r="B11" s="87" t="s">
        <v>119</v>
      </c>
      <c r="C11" s="97">
        <v>5306700</v>
      </c>
      <c r="D11" s="102"/>
      <c r="E11" s="97">
        <v>6129818</v>
      </c>
      <c r="F11" s="102"/>
      <c r="G11" s="97">
        <v>5500000</v>
      </c>
      <c r="H11" s="102"/>
      <c r="I11" s="97">
        <v>6109555</v>
      </c>
      <c r="J11" s="172"/>
      <c r="K11" s="95">
        <f t="shared" si="1"/>
        <v>-3.3056446374101155E-3</v>
      </c>
      <c r="L11" s="111"/>
      <c r="M11" s="96">
        <f t="shared" si="0"/>
        <v>1.3108460804226197E-2</v>
      </c>
    </row>
    <row r="12" spans="1:13" s="166" customFormat="1" x14ac:dyDescent="0.25">
      <c r="A12" s="87" t="s">
        <v>186</v>
      </c>
      <c r="B12" s="87"/>
      <c r="C12" s="97">
        <v>658425</v>
      </c>
      <c r="D12" s="102"/>
      <c r="E12" s="97">
        <v>1100000</v>
      </c>
      <c r="F12" s="102"/>
      <c r="G12" s="97">
        <v>660000</v>
      </c>
      <c r="H12" s="102"/>
      <c r="I12" s="97">
        <v>658426</v>
      </c>
      <c r="J12" s="172"/>
      <c r="K12" s="95">
        <f t="shared" si="1"/>
        <v>-0.40143090909090912</v>
      </c>
      <c r="L12" s="111"/>
      <c r="M12" s="96">
        <f t="shared" si="0"/>
        <v>1.4126972281096476E-3</v>
      </c>
    </row>
    <row r="13" spans="1:13" x14ac:dyDescent="0.25">
      <c r="A13" s="87" t="s">
        <v>120</v>
      </c>
      <c r="B13" s="98" t="s">
        <v>121</v>
      </c>
      <c r="C13" s="99">
        <v>777759</v>
      </c>
      <c r="D13" s="102"/>
      <c r="E13" s="99">
        <v>309150</v>
      </c>
      <c r="F13" s="102"/>
      <c r="G13" s="99">
        <v>505353.05</v>
      </c>
      <c r="H13" s="102"/>
      <c r="I13" s="99">
        <v>308575</v>
      </c>
      <c r="J13" s="172"/>
      <c r="K13" s="100">
        <f t="shared" si="1"/>
        <v>-1.8599385411612486E-3</v>
      </c>
      <c r="L13" s="111"/>
      <c r="M13" s="101">
        <f t="shared" si="0"/>
        <v>6.6206839821625286E-4</v>
      </c>
    </row>
    <row r="14" spans="1:13" x14ac:dyDescent="0.25">
      <c r="A14" s="87"/>
      <c r="B14" s="87"/>
      <c r="C14" s="102"/>
      <c r="D14" s="102"/>
      <c r="E14" s="102"/>
      <c r="F14" s="102"/>
      <c r="G14" s="102"/>
      <c r="H14" s="102"/>
      <c r="I14" s="102"/>
      <c r="J14" s="172"/>
      <c r="K14" s="104"/>
      <c r="L14" s="111"/>
      <c r="M14" s="105"/>
    </row>
    <row r="15" spans="1:13" ht="15.75" thickBot="1" x14ac:dyDescent="0.3">
      <c r="A15" s="87"/>
      <c r="B15" s="94" t="s">
        <v>108</v>
      </c>
      <c r="C15" s="145">
        <f>SUM(C8:C14)</f>
        <v>436543762</v>
      </c>
      <c r="D15" s="109"/>
      <c r="E15" s="145">
        <f>SUM(E8:E14)</f>
        <v>460288474</v>
      </c>
      <c r="F15" s="133"/>
      <c r="G15" s="145">
        <f>SUM(G8:G14)</f>
        <v>447765353.05000001</v>
      </c>
      <c r="H15" s="133"/>
      <c r="I15" s="145">
        <f>SUM(I8:I14)</f>
        <v>466077222.27999997</v>
      </c>
      <c r="J15" s="172"/>
      <c r="K15" s="106">
        <f>(+I15-E15)/E15</f>
        <v>1.2576348544412979E-2</v>
      </c>
      <c r="L15" s="111"/>
      <c r="M15" s="107">
        <f>SUM(M8:M14)</f>
        <v>1</v>
      </c>
    </row>
    <row r="16" spans="1:13" x14ac:dyDescent="0.25">
      <c r="J16" s="172"/>
    </row>
    <row r="17" spans="5:10" x14ac:dyDescent="0.25">
      <c r="E17" s="188"/>
      <c r="J17" s="172"/>
    </row>
    <row r="18" spans="5:10" x14ac:dyDescent="0.25">
      <c r="J18" s="172"/>
    </row>
    <row r="19" spans="5:10" x14ac:dyDescent="0.25">
      <c r="J19" s="172"/>
    </row>
    <row r="20" spans="5:10" x14ac:dyDescent="0.25">
      <c r="J20" s="172"/>
    </row>
    <row r="21" spans="5:10" x14ac:dyDescent="0.25">
      <c r="J21" s="172"/>
    </row>
    <row r="22" spans="5:10" x14ac:dyDescent="0.25">
      <c r="J22" s="172"/>
    </row>
    <row r="23" spans="5:10" x14ac:dyDescent="0.25">
      <c r="J23" s="172"/>
    </row>
    <row r="24" spans="5:10" x14ac:dyDescent="0.25">
      <c r="J24" s="172"/>
    </row>
    <row r="25" spans="5:10" x14ac:dyDescent="0.25">
      <c r="J25" s="172"/>
    </row>
    <row r="26" spans="5:10" x14ac:dyDescent="0.25">
      <c r="J26" s="172"/>
    </row>
    <row r="27" spans="5:10" x14ac:dyDescent="0.25">
      <c r="J27" s="172"/>
    </row>
    <row r="28" spans="5:10" x14ac:dyDescent="0.25">
      <c r="J28" s="172"/>
    </row>
    <row r="29" spans="5:10" x14ac:dyDescent="0.25">
      <c r="J29" s="172"/>
    </row>
    <row r="30" spans="5:10" x14ac:dyDescent="0.25">
      <c r="J30" s="169"/>
    </row>
    <row r="31" spans="5:10" x14ac:dyDescent="0.25">
      <c r="J31" s="169"/>
    </row>
    <row r="32" spans="5:10" x14ac:dyDescent="0.25">
      <c r="J32" s="169"/>
    </row>
    <row r="33" spans="10:10" x14ac:dyDescent="0.25">
      <c r="J33" s="169"/>
    </row>
    <row r="34" spans="10:10" x14ac:dyDescent="0.25">
      <c r="J34" s="169"/>
    </row>
    <row r="35" spans="10:10" x14ac:dyDescent="0.25">
      <c r="J35" s="169"/>
    </row>
    <row r="36" spans="10:10" x14ac:dyDescent="0.25">
      <c r="J36" s="169"/>
    </row>
    <row r="37" spans="10:10" x14ac:dyDescent="0.25">
      <c r="J37" s="169"/>
    </row>
    <row r="38" spans="10:10" x14ac:dyDescent="0.25">
      <c r="J38" s="169"/>
    </row>
    <row r="55" spans="1:13" x14ac:dyDescent="0.25">
      <c r="A55" s="283" t="s">
        <v>216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</row>
    <row r="79" spans="11:12" x14ac:dyDescent="0.25">
      <c r="K79" s="131"/>
      <c r="L79"/>
    </row>
    <row r="80" spans="11:12" x14ac:dyDescent="0.25">
      <c r="K80" s="131"/>
      <c r="L80"/>
    </row>
    <row r="81" spans="11:12" x14ac:dyDescent="0.25">
      <c r="K81" s="131"/>
      <c r="L81"/>
    </row>
    <row r="82" spans="11:12" x14ac:dyDescent="0.25">
      <c r="K82" s="131"/>
      <c r="L82"/>
    </row>
    <row r="83" spans="11:12" x14ac:dyDescent="0.25">
      <c r="K83" s="131"/>
      <c r="L83"/>
    </row>
    <row r="84" spans="11:12" x14ac:dyDescent="0.25">
      <c r="K84" s="131"/>
      <c r="L84"/>
    </row>
    <row r="85" spans="11:12" x14ac:dyDescent="0.25">
      <c r="K85" s="131"/>
      <c r="L85"/>
    </row>
    <row r="86" spans="11:12" x14ac:dyDescent="0.25">
      <c r="K86" s="131"/>
      <c r="L86"/>
    </row>
    <row r="87" spans="11:12" x14ac:dyDescent="0.25">
      <c r="K87" s="131"/>
      <c r="L87"/>
    </row>
    <row r="88" spans="11:12" x14ac:dyDescent="0.25">
      <c r="K88" s="131"/>
      <c r="L88"/>
    </row>
    <row r="89" spans="11:12" x14ac:dyDescent="0.25">
      <c r="K89" s="131"/>
      <c r="L89"/>
    </row>
    <row r="90" spans="11:12" x14ac:dyDescent="0.25">
      <c r="K90" s="131"/>
      <c r="L90"/>
    </row>
    <row r="91" spans="11:12" x14ac:dyDescent="0.25">
      <c r="K91" s="131"/>
      <c r="L91"/>
    </row>
    <row r="92" spans="11:12" x14ac:dyDescent="0.25">
      <c r="K92" s="131"/>
      <c r="L92"/>
    </row>
    <row r="93" spans="11:12" x14ac:dyDescent="0.25">
      <c r="K93" s="131"/>
      <c r="L93"/>
    </row>
    <row r="94" spans="11:12" x14ac:dyDescent="0.25">
      <c r="K94" s="131"/>
      <c r="L94"/>
    </row>
    <row r="95" spans="11:12" x14ac:dyDescent="0.25">
      <c r="K95" s="131"/>
      <c r="L95"/>
    </row>
    <row r="96" spans="11:12" x14ac:dyDescent="0.25">
      <c r="K96" s="131"/>
      <c r="L96"/>
    </row>
    <row r="97" spans="11:12" x14ac:dyDescent="0.25">
      <c r="K97" s="131"/>
      <c r="L97"/>
    </row>
    <row r="98" spans="11:12" x14ac:dyDescent="0.25">
      <c r="K98" s="131"/>
      <c r="L98"/>
    </row>
    <row r="99" spans="11:12" x14ac:dyDescent="0.25">
      <c r="K99" s="131"/>
      <c r="L99"/>
    </row>
    <row r="100" spans="11:12" x14ac:dyDescent="0.25">
      <c r="K100" s="131"/>
      <c r="L100"/>
    </row>
    <row r="101" spans="11:12" x14ac:dyDescent="0.25">
      <c r="K101" s="131"/>
      <c r="L101"/>
    </row>
    <row r="102" spans="11:12" x14ac:dyDescent="0.25">
      <c r="K102" s="131"/>
      <c r="L102"/>
    </row>
    <row r="103" spans="11:12" x14ac:dyDescent="0.25">
      <c r="K103" s="131"/>
      <c r="L103"/>
    </row>
    <row r="104" spans="11:12" x14ac:dyDescent="0.25">
      <c r="K104" s="131"/>
      <c r="L104"/>
    </row>
    <row r="105" spans="11:12" x14ac:dyDescent="0.25">
      <c r="K105" s="131"/>
      <c r="L105"/>
    </row>
    <row r="106" spans="11:12" x14ac:dyDescent="0.25">
      <c r="K106" s="131"/>
      <c r="L106"/>
    </row>
    <row r="107" spans="11:12" x14ac:dyDescent="0.25">
      <c r="K107" s="131"/>
      <c r="L107"/>
    </row>
    <row r="108" spans="11:12" x14ac:dyDescent="0.25">
      <c r="K108" s="131"/>
      <c r="L108"/>
    </row>
    <row r="109" spans="11:12" x14ac:dyDescent="0.25">
      <c r="K109" s="131"/>
      <c r="L109"/>
    </row>
    <row r="110" spans="11:12" x14ac:dyDescent="0.25">
      <c r="K110" s="131"/>
      <c r="L110"/>
    </row>
    <row r="111" spans="11:12" x14ac:dyDescent="0.25">
      <c r="K111" s="131"/>
      <c r="L111"/>
    </row>
    <row r="112" spans="11:12" x14ac:dyDescent="0.25">
      <c r="K112" s="131"/>
      <c r="L112"/>
    </row>
    <row r="113" spans="11:12" x14ac:dyDescent="0.25">
      <c r="K113" s="131"/>
      <c r="L113"/>
    </row>
    <row r="114" spans="11:12" x14ac:dyDescent="0.25">
      <c r="K114" s="131"/>
      <c r="L114"/>
    </row>
    <row r="115" spans="11:12" x14ac:dyDescent="0.25">
      <c r="K115" s="131"/>
      <c r="L115"/>
    </row>
    <row r="116" spans="11:12" x14ac:dyDescent="0.25">
      <c r="K116" s="131"/>
      <c r="L116"/>
    </row>
    <row r="117" spans="11:12" x14ac:dyDescent="0.25">
      <c r="K117" s="131"/>
      <c r="L117"/>
    </row>
    <row r="118" spans="11:12" x14ac:dyDescent="0.25">
      <c r="K118" s="131"/>
      <c r="L118"/>
    </row>
  </sheetData>
  <mergeCells count="1">
    <mergeCell ref="A55:M55"/>
  </mergeCells>
  <printOptions horizontalCentered="1"/>
  <pageMargins left="0.7" right="0.7" top="0.75" bottom="0.75" header="0.3" footer="0.3"/>
  <pageSetup scale="85" firstPageNumber="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B1" sqref="B1:I1"/>
    </sheetView>
  </sheetViews>
  <sheetFormatPr defaultRowHeight="15" x14ac:dyDescent="0.25"/>
  <cols>
    <col min="1" max="1" width="5.5703125" style="31" customWidth="1"/>
    <col min="2" max="2" width="40.42578125" style="31" customWidth="1"/>
    <col min="3" max="3" width="15.5703125" style="84" customWidth="1"/>
    <col min="4" max="4" width="2" style="31" customWidth="1"/>
    <col min="5" max="5" width="14.5703125" style="84" customWidth="1"/>
    <col min="6" max="6" width="2.7109375" style="84" customWidth="1"/>
    <col min="7" max="7" width="14.5703125" style="84" hidden="1" customWidth="1"/>
    <col min="8" max="8" width="2.7109375" style="84" hidden="1" customWidth="1"/>
    <col min="9" max="9" width="14" style="84" customWidth="1"/>
    <col min="10" max="16384" width="9.140625" style="31"/>
  </cols>
  <sheetData>
    <row r="1" spans="1:10" x14ac:dyDescent="0.25">
      <c r="B1" s="282" t="s">
        <v>0</v>
      </c>
      <c r="C1" s="282"/>
      <c r="D1" s="282"/>
      <c r="E1" s="282"/>
      <c r="F1" s="282"/>
      <c r="G1" s="282"/>
      <c r="H1" s="282"/>
      <c r="I1" s="282"/>
      <c r="J1" s="5"/>
    </row>
    <row r="2" spans="1:10" x14ac:dyDescent="0.25">
      <c r="B2" s="282" t="s">
        <v>122</v>
      </c>
      <c r="C2" s="282"/>
      <c r="D2" s="282"/>
      <c r="E2" s="282"/>
      <c r="F2" s="282"/>
      <c r="G2" s="282"/>
      <c r="H2" s="282"/>
      <c r="I2" s="282"/>
      <c r="J2" s="5"/>
    </row>
    <row r="3" spans="1:10" x14ac:dyDescent="0.25">
      <c r="B3" s="282"/>
      <c r="C3" s="282"/>
      <c r="D3" s="282"/>
      <c r="E3" s="282"/>
      <c r="F3" s="282"/>
      <c r="G3" s="282"/>
      <c r="H3" s="282"/>
      <c r="I3" s="282"/>
      <c r="J3" s="5"/>
    </row>
    <row r="4" spans="1:10" x14ac:dyDescent="0.25">
      <c r="B4" s="9"/>
      <c r="C4" s="159"/>
      <c r="D4" s="5"/>
      <c r="E4" s="160"/>
      <c r="F4" s="10"/>
      <c r="G4" s="160" t="s">
        <v>54</v>
      </c>
      <c r="H4" s="11"/>
      <c r="I4" s="154" t="s">
        <v>205</v>
      </c>
      <c r="J4" s="5"/>
    </row>
    <row r="5" spans="1:10" x14ac:dyDescent="0.25">
      <c r="B5" s="9"/>
      <c r="C5" s="160" t="s">
        <v>1</v>
      </c>
      <c r="D5" s="11"/>
      <c r="E5" s="160" t="s">
        <v>175</v>
      </c>
      <c r="F5" s="10"/>
      <c r="G5" s="195" t="s">
        <v>55</v>
      </c>
      <c r="H5" s="156"/>
      <c r="I5" s="160" t="s">
        <v>3</v>
      </c>
      <c r="J5" s="5"/>
    </row>
    <row r="6" spans="1:10" x14ac:dyDescent="0.25">
      <c r="B6" s="5"/>
      <c r="C6" s="162" t="s">
        <v>183</v>
      </c>
      <c r="D6" s="12"/>
      <c r="E6" s="162" t="s">
        <v>189</v>
      </c>
      <c r="F6" s="123"/>
      <c r="G6" s="162" t="s">
        <v>189</v>
      </c>
      <c r="H6" s="156"/>
      <c r="I6" s="162" t="s">
        <v>193</v>
      </c>
      <c r="J6" s="5"/>
    </row>
    <row r="7" spans="1:10" x14ac:dyDescent="0.25">
      <c r="A7" s="2" t="s">
        <v>5</v>
      </c>
      <c r="C7" s="7"/>
      <c r="D7" s="6"/>
      <c r="E7" s="7"/>
      <c r="F7" s="7"/>
      <c r="G7" s="7"/>
      <c r="H7" s="156"/>
      <c r="I7" s="7"/>
      <c r="J7" s="5"/>
    </row>
    <row r="8" spans="1:10" x14ac:dyDescent="0.25">
      <c r="A8" s="2" t="s">
        <v>129</v>
      </c>
      <c r="C8" s="7"/>
      <c r="D8" s="6"/>
      <c r="E8" s="7"/>
      <c r="F8" s="7"/>
      <c r="G8" s="7"/>
      <c r="H8" s="156"/>
      <c r="I8" s="7"/>
      <c r="J8" s="5"/>
    </row>
    <row r="9" spans="1:10" x14ac:dyDescent="0.25">
      <c r="A9" s="31">
        <v>5751</v>
      </c>
      <c r="B9" s="14" t="s">
        <v>123</v>
      </c>
      <c r="C9" s="27">
        <v>10746005.92</v>
      </c>
      <c r="D9" s="27"/>
      <c r="E9" s="27">
        <v>11267854</v>
      </c>
      <c r="F9" s="27"/>
      <c r="G9" s="27">
        <v>10100000</v>
      </c>
      <c r="H9" s="157"/>
      <c r="I9" s="27">
        <v>11603101</v>
      </c>
      <c r="J9" s="168">
        <f>+I9/I$27</f>
        <v>0.47774256969162959</v>
      </c>
    </row>
    <row r="10" spans="1:10" x14ac:dyDescent="0.25">
      <c r="B10" s="14" t="s">
        <v>124</v>
      </c>
      <c r="C10" s="26">
        <v>94280</v>
      </c>
      <c r="D10" s="7"/>
      <c r="E10" s="26">
        <v>288449</v>
      </c>
      <c r="F10" s="26"/>
      <c r="G10" s="26">
        <v>7843</v>
      </c>
      <c r="H10" s="156"/>
      <c r="I10" s="26">
        <v>94280</v>
      </c>
      <c r="J10" s="168">
        <f t="shared" ref="J10:J27" si="0">+I10/I$27</f>
        <v>3.8818561926270258E-3</v>
      </c>
    </row>
    <row r="11" spans="1:10" x14ac:dyDescent="0.25">
      <c r="B11" s="14"/>
      <c r="C11" s="26"/>
      <c r="D11" s="7"/>
      <c r="E11" s="26"/>
      <c r="F11" s="26"/>
      <c r="G11" s="26"/>
      <c r="H11" s="156"/>
      <c r="I11" s="26"/>
      <c r="J11" s="168"/>
    </row>
    <row r="12" spans="1:10" x14ac:dyDescent="0.25">
      <c r="B12" s="14" t="s">
        <v>127</v>
      </c>
      <c r="C12" s="234">
        <f>SUM(C9:C11)</f>
        <v>10840285.92</v>
      </c>
      <c r="D12" s="7"/>
      <c r="E12" s="28">
        <f>SUM(E9:E11)</f>
        <v>11556303</v>
      </c>
      <c r="F12" s="26"/>
      <c r="G12" s="28">
        <f>SUM(G9:G11)</f>
        <v>10107843</v>
      </c>
      <c r="H12" s="156"/>
      <c r="I12" s="28">
        <f>SUM(I9:I11)</f>
        <v>11697381</v>
      </c>
      <c r="J12" s="168">
        <f t="shared" si="0"/>
        <v>0.48162442588425664</v>
      </c>
    </row>
    <row r="13" spans="1:10" x14ac:dyDescent="0.25">
      <c r="B13" s="14"/>
      <c r="C13" s="26"/>
      <c r="D13" s="7"/>
      <c r="E13" s="26"/>
      <c r="F13" s="26"/>
      <c r="G13" s="26"/>
      <c r="H13" s="156"/>
      <c r="I13" s="26"/>
      <c r="J13" s="168"/>
    </row>
    <row r="14" spans="1:10" x14ac:dyDescent="0.25">
      <c r="A14" s="125" t="s">
        <v>130</v>
      </c>
      <c r="B14" s="14"/>
      <c r="C14" s="26"/>
      <c r="D14" s="7"/>
      <c r="E14" s="26"/>
      <c r="F14" s="26"/>
      <c r="G14" s="26"/>
      <c r="H14" s="156"/>
      <c r="I14" s="26"/>
      <c r="J14" s="168"/>
    </row>
    <row r="15" spans="1:10" x14ac:dyDescent="0.25">
      <c r="A15" s="31">
        <v>5829</v>
      </c>
      <c r="B15" s="14" t="s">
        <v>125</v>
      </c>
      <c r="C15" s="26">
        <v>109668</v>
      </c>
      <c r="D15" s="7"/>
      <c r="E15" s="26">
        <v>104208</v>
      </c>
      <c r="F15" s="26"/>
      <c r="G15" s="26">
        <v>109688</v>
      </c>
      <c r="H15" s="156"/>
      <c r="I15" s="26">
        <v>109688</v>
      </c>
      <c r="J15" s="168">
        <f t="shared" si="0"/>
        <v>4.5162605224530463E-3</v>
      </c>
    </row>
    <row r="16" spans="1:10" x14ac:dyDescent="0.25">
      <c r="A16" s="31">
        <v>5831</v>
      </c>
      <c r="B16" s="14" t="s">
        <v>126</v>
      </c>
      <c r="C16" s="24">
        <v>0</v>
      </c>
      <c r="D16" s="15"/>
      <c r="E16" s="24">
        <v>0</v>
      </c>
      <c r="F16" s="24"/>
      <c r="G16" s="26">
        <v>0</v>
      </c>
      <c r="H16" s="156"/>
      <c r="I16" s="24">
        <v>0</v>
      </c>
      <c r="J16" s="168">
        <f t="shared" si="0"/>
        <v>0</v>
      </c>
    </row>
    <row r="17" spans="1:10" x14ac:dyDescent="0.25">
      <c r="B17" s="14"/>
      <c r="C17" s="24"/>
      <c r="D17" s="15"/>
      <c r="E17" s="24"/>
      <c r="F17" s="24"/>
      <c r="G17" s="24"/>
      <c r="H17" s="156"/>
      <c r="I17" s="24"/>
      <c r="J17" s="168"/>
    </row>
    <row r="18" spans="1:10" x14ac:dyDescent="0.25">
      <c r="B18" s="14" t="s">
        <v>128</v>
      </c>
      <c r="C18" s="126">
        <f>SUM(C15:C17)</f>
        <v>109668</v>
      </c>
      <c r="D18" s="15"/>
      <c r="E18" s="126">
        <f>SUM(E15:E17)</f>
        <v>104208</v>
      </c>
      <c r="F18" s="24"/>
      <c r="G18" s="126">
        <f>SUM(G15:G17)</f>
        <v>109688</v>
      </c>
      <c r="H18" s="156"/>
      <c r="I18" s="126">
        <f>SUM(I15:I17)</f>
        <v>109688</v>
      </c>
      <c r="J18" s="168">
        <f t="shared" si="0"/>
        <v>4.5162605224530463E-3</v>
      </c>
    </row>
    <row r="19" spans="1:10" x14ac:dyDescent="0.25">
      <c r="B19" s="14"/>
      <c r="C19" s="24"/>
      <c r="D19" s="15"/>
      <c r="E19" s="24"/>
      <c r="F19" s="24"/>
      <c r="G19" s="24"/>
      <c r="H19" s="156"/>
      <c r="I19" s="24"/>
      <c r="J19" s="168"/>
    </row>
    <row r="20" spans="1:10" x14ac:dyDescent="0.25">
      <c r="A20" s="127" t="s">
        <v>47</v>
      </c>
      <c r="B20" s="14"/>
      <c r="C20" s="24"/>
      <c r="D20" s="15"/>
      <c r="E20" s="24"/>
      <c r="F20" s="24"/>
      <c r="G20" s="24"/>
      <c r="H20" s="156"/>
      <c r="I20" s="24"/>
      <c r="J20" s="168"/>
    </row>
    <row r="21" spans="1:10" x14ac:dyDescent="0.25">
      <c r="A21" s="14">
        <v>5921</v>
      </c>
      <c r="B21" s="14" t="s">
        <v>131</v>
      </c>
      <c r="C21" s="24">
        <v>2670730.96</v>
      </c>
      <c r="D21" s="15"/>
      <c r="E21" s="24">
        <v>2725036</v>
      </c>
      <c r="F21" s="24"/>
      <c r="G21" s="24">
        <v>2725036</v>
      </c>
      <c r="H21" s="156"/>
      <c r="I21" s="24">
        <v>2682078</v>
      </c>
      <c r="J21" s="168">
        <f t="shared" si="0"/>
        <v>0.11043106802512419</v>
      </c>
    </row>
    <row r="22" spans="1:10" x14ac:dyDescent="0.25">
      <c r="A22" s="14">
        <v>5922</v>
      </c>
      <c r="B22" s="14" t="s">
        <v>132</v>
      </c>
      <c r="C22" s="24">
        <v>8383694</v>
      </c>
      <c r="D22" s="15"/>
      <c r="E22" s="24">
        <v>8374075</v>
      </c>
      <c r="F22" s="24"/>
      <c r="G22" s="24">
        <v>8374075</v>
      </c>
      <c r="H22" s="156"/>
      <c r="I22" s="24">
        <v>8282835</v>
      </c>
      <c r="J22" s="168">
        <f t="shared" si="0"/>
        <v>0.34103494205831431</v>
      </c>
    </row>
    <row r="23" spans="1:10" x14ac:dyDescent="0.25">
      <c r="A23" s="14">
        <v>5923</v>
      </c>
      <c r="B23" s="14" t="s">
        <v>133</v>
      </c>
      <c r="C23" s="24">
        <v>1325754.33</v>
      </c>
      <c r="D23" s="15"/>
      <c r="E23" s="24">
        <v>1016966</v>
      </c>
      <c r="F23" s="24"/>
      <c r="G23" s="24">
        <v>1016966</v>
      </c>
      <c r="H23" s="156"/>
      <c r="I23" s="24">
        <f>1447968+67400</f>
        <v>1515368</v>
      </c>
      <c r="J23" s="168">
        <f t="shared" si="0"/>
        <v>6.2393303509851838E-2</v>
      </c>
    </row>
    <row r="24" spans="1:10" x14ac:dyDescent="0.25">
      <c r="A24" s="127"/>
      <c r="B24" s="14"/>
      <c r="C24" s="24"/>
      <c r="D24" s="15"/>
      <c r="E24" s="24"/>
      <c r="F24" s="24"/>
      <c r="G24" s="24"/>
      <c r="H24" s="156"/>
      <c r="I24" s="24"/>
      <c r="J24" s="168"/>
    </row>
    <row r="25" spans="1:10" x14ac:dyDescent="0.25">
      <c r="A25" s="127"/>
      <c r="B25" s="14" t="s">
        <v>134</v>
      </c>
      <c r="C25" s="126">
        <f>SUM(C21:C24)</f>
        <v>12380179.290000001</v>
      </c>
      <c r="D25" s="15"/>
      <c r="E25" s="126">
        <f>SUM(E21:E24)</f>
        <v>12116077</v>
      </c>
      <c r="F25" s="24"/>
      <c r="G25" s="126">
        <f>SUM(G21:G24)</f>
        <v>12116077</v>
      </c>
      <c r="H25" s="156"/>
      <c r="I25" s="126">
        <f>SUM(I21:I24)</f>
        <v>12480281</v>
      </c>
      <c r="J25" s="168">
        <f t="shared" si="0"/>
        <v>0.51385931359329029</v>
      </c>
    </row>
    <row r="26" spans="1:10" x14ac:dyDescent="0.25">
      <c r="C26" s="15"/>
      <c r="D26" s="15"/>
      <c r="E26" s="24">
        <v>0</v>
      </c>
      <c r="F26" s="15"/>
      <c r="G26" s="15"/>
      <c r="H26" s="156"/>
      <c r="I26" s="24"/>
      <c r="J26" s="168"/>
    </row>
    <row r="27" spans="1:10" x14ac:dyDescent="0.25">
      <c r="B27" s="127" t="s">
        <v>139</v>
      </c>
      <c r="C27" s="128">
        <f>+C25+C18+C12</f>
        <v>23330133.210000001</v>
      </c>
      <c r="D27" s="13"/>
      <c r="E27" s="128">
        <f>+E25+E18+E12</f>
        <v>23776588</v>
      </c>
      <c r="F27" s="13"/>
      <c r="G27" s="128">
        <f>+G25+G18+G12</f>
        <v>22333608</v>
      </c>
      <c r="H27" s="156"/>
      <c r="I27" s="128">
        <f>+I25+I18+I12</f>
        <v>24287350</v>
      </c>
      <c r="J27" s="168">
        <f t="shared" si="0"/>
        <v>1</v>
      </c>
    </row>
    <row r="28" spans="1:10" x14ac:dyDescent="0.25">
      <c r="B28" s="5"/>
      <c r="C28" s="7"/>
      <c r="D28" s="6"/>
      <c r="E28" s="7"/>
      <c r="F28" s="7"/>
      <c r="G28" s="7"/>
      <c r="H28" s="156"/>
      <c r="I28" s="7"/>
      <c r="J28" s="168"/>
    </row>
    <row r="29" spans="1:10" x14ac:dyDescent="0.25">
      <c r="A29" s="2" t="s">
        <v>7</v>
      </c>
      <c r="C29" s="7"/>
      <c r="D29" s="6"/>
      <c r="E29" s="7"/>
      <c r="F29" s="7"/>
      <c r="G29" s="7"/>
      <c r="H29" s="156"/>
      <c r="I29" s="7"/>
      <c r="J29" s="168"/>
    </row>
    <row r="30" spans="1:10" x14ac:dyDescent="0.25">
      <c r="B30" s="16" t="s">
        <v>135</v>
      </c>
      <c r="C30" s="26">
        <v>8296761.0800000001</v>
      </c>
      <c r="D30" s="26"/>
      <c r="E30" s="26">
        <v>9772366</v>
      </c>
      <c r="F30" s="26"/>
      <c r="G30" s="26">
        <v>9764384</v>
      </c>
      <c r="H30" s="26"/>
      <c r="I30" s="26">
        <v>9150017</v>
      </c>
      <c r="J30" s="168">
        <f>+I30/I$35</f>
        <v>0.38296593296250303</v>
      </c>
    </row>
    <row r="31" spans="1:10" x14ac:dyDescent="0.25">
      <c r="B31" s="16" t="s">
        <v>136</v>
      </c>
      <c r="C31" s="26">
        <v>5008482.59</v>
      </c>
      <c r="D31" s="26"/>
      <c r="E31" s="26">
        <v>4780790</v>
      </c>
      <c r="F31" s="26"/>
      <c r="G31" s="26">
        <v>3709491</v>
      </c>
      <c r="H31" s="26"/>
      <c r="I31" s="26">
        <v>3857721</v>
      </c>
      <c r="J31" s="168">
        <f t="shared" ref="J31:J35" si="1">+I31/I$35</f>
        <v>0.16146152754405158</v>
      </c>
    </row>
    <row r="32" spans="1:10" x14ac:dyDescent="0.25">
      <c r="B32" s="16" t="s">
        <v>137</v>
      </c>
      <c r="C32" s="26">
        <v>10226816.16</v>
      </c>
      <c r="D32" s="26"/>
      <c r="E32" s="26">
        <v>10582597</v>
      </c>
      <c r="F32" s="26"/>
      <c r="G32" s="26">
        <v>8582597</v>
      </c>
      <c r="H32" s="26"/>
      <c r="I32" s="26">
        <v>10680799</v>
      </c>
      <c r="J32" s="168">
        <f t="shared" si="1"/>
        <v>0.44703547040622649</v>
      </c>
    </row>
    <row r="33" spans="2:11" x14ac:dyDescent="0.25">
      <c r="B33" s="16" t="s">
        <v>138</v>
      </c>
      <c r="C33" s="26">
        <v>151308.84</v>
      </c>
      <c r="D33" s="26"/>
      <c r="E33" s="26">
        <v>196338</v>
      </c>
      <c r="F33" s="26"/>
      <c r="G33" s="26">
        <v>157252</v>
      </c>
      <c r="H33" s="26"/>
      <c r="I33" s="26">
        <v>183972</v>
      </c>
      <c r="J33" s="168">
        <f t="shared" si="1"/>
        <v>7.6999866359786662E-3</v>
      </c>
    </row>
    <row r="34" spans="2:11" x14ac:dyDescent="0.25">
      <c r="B34" s="16" t="s">
        <v>121</v>
      </c>
      <c r="C34" s="26">
        <v>13852.4</v>
      </c>
      <c r="D34" s="26"/>
      <c r="E34" s="26">
        <v>65000</v>
      </c>
      <c r="F34" s="26"/>
      <c r="G34" s="26">
        <v>0</v>
      </c>
      <c r="H34" s="26"/>
      <c r="I34" s="26">
        <v>20000</v>
      </c>
      <c r="J34" s="168">
        <f t="shared" si="1"/>
        <v>8.3708245124026115E-4</v>
      </c>
    </row>
    <row r="35" spans="2:11" x14ac:dyDescent="0.25">
      <c r="B35" s="2" t="s">
        <v>29</v>
      </c>
      <c r="C35" s="28">
        <f>SUM(C30:C34)</f>
        <v>23697221.069999997</v>
      </c>
      <c r="D35" s="29"/>
      <c r="E35" s="28">
        <f>SUM(E30:E34)</f>
        <v>25397091</v>
      </c>
      <c r="F35" s="29"/>
      <c r="G35" s="28">
        <f>SUM(G30:G34)</f>
        <v>22213724</v>
      </c>
      <c r="H35" s="164"/>
      <c r="I35" s="28">
        <f>SUM(I30:I34)</f>
        <v>23892509</v>
      </c>
      <c r="J35" s="168">
        <f t="shared" si="1"/>
        <v>1</v>
      </c>
      <c r="K35" s="1"/>
    </row>
    <row r="36" spans="2:11" x14ac:dyDescent="0.25">
      <c r="B36" s="5"/>
      <c r="C36" s="7"/>
      <c r="D36" s="6"/>
      <c r="E36" s="7"/>
      <c r="F36" s="7"/>
      <c r="G36" s="7"/>
      <c r="H36" s="156"/>
      <c r="I36" s="7"/>
      <c r="J36" s="168"/>
      <c r="K36" s="1"/>
    </row>
    <row r="37" spans="2:11" x14ac:dyDescent="0.25">
      <c r="B37" s="5"/>
      <c r="C37" s="7"/>
      <c r="D37" s="6"/>
      <c r="E37" s="7"/>
      <c r="F37" s="7"/>
      <c r="G37" s="7"/>
      <c r="H37" s="156"/>
      <c r="I37" s="7"/>
      <c r="J37" s="5"/>
      <c r="K37" s="1"/>
    </row>
    <row r="38" spans="2:11" x14ac:dyDescent="0.25">
      <c r="B38" s="2" t="s">
        <v>30</v>
      </c>
      <c r="C38" s="7"/>
      <c r="D38" s="6"/>
      <c r="E38" s="7"/>
      <c r="F38" s="7"/>
      <c r="G38" s="7"/>
      <c r="H38" s="156"/>
      <c r="I38" s="7"/>
      <c r="J38" s="5"/>
      <c r="K38" s="1"/>
    </row>
    <row r="39" spans="2:11" x14ac:dyDescent="0.25">
      <c r="B39" s="2" t="s">
        <v>31</v>
      </c>
      <c r="C39" s="30">
        <f>+C27-C35</f>
        <v>-367087.85999999568</v>
      </c>
      <c r="D39" s="6"/>
      <c r="E39" s="30">
        <f>+E27-E35</f>
        <v>-1620503</v>
      </c>
      <c r="F39" s="124"/>
      <c r="G39" s="30">
        <f>+G27-G35</f>
        <v>119884</v>
      </c>
      <c r="H39" s="156"/>
      <c r="I39" s="30">
        <f>+I27-I35</f>
        <v>394841</v>
      </c>
      <c r="J39" s="5"/>
      <c r="K39" s="1"/>
    </row>
    <row r="40" spans="2:11" x14ac:dyDescent="0.25">
      <c r="B40" s="2"/>
      <c r="C40" s="7"/>
      <c r="D40" s="6"/>
      <c r="E40" s="7"/>
      <c r="F40" s="7"/>
      <c r="G40" s="7"/>
      <c r="H40" s="156"/>
      <c r="I40" s="7"/>
      <c r="J40" s="5"/>
      <c r="K40" s="1"/>
    </row>
    <row r="41" spans="2:11" x14ac:dyDescent="0.25">
      <c r="B41" s="2" t="s">
        <v>32</v>
      </c>
      <c r="C41" s="7"/>
      <c r="D41" s="6"/>
      <c r="E41" s="7"/>
      <c r="F41" s="7"/>
      <c r="G41" s="7"/>
      <c r="H41" s="156"/>
      <c r="I41" s="7"/>
      <c r="J41" s="5"/>
      <c r="K41" s="1"/>
    </row>
    <row r="42" spans="2:11" x14ac:dyDescent="0.25">
      <c r="B42" s="5" t="s">
        <v>33</v>
      </c>
      <c r="C42" s="15">
        <v>1700000</v>
      </c>
      <c r="D42" s="6"/>
      <c r="E42" s="15">
        <v>1700000</v>
      </c>
      <c r="F42" s="15"/>
      <c r="G42" s="15">
        <v>0</v>
      </c>
      <c r="H42" s="156"/>
      <c r="I42" s="15">
        <v>0</v>
      </c>
      <c r="J42" s="5"/>
      <c r="K42" s="1"/>
    </row>
    <row r="43" spans="2:11" x14ac:dyDescent="0.25">
      <c r="B43" s="5" t="s">
        <v>34</v>
      </c>
      <c r="C43" s="15">
        <v>0</v>
      </c>
      <c r="D43" s="15"/>
      <c r="E43" s="15">
        <v>0</v>
      </c>
      <c r="F43" s="15"/>
      <c r="G43" s="15">
        <v>0</v>
      </c>
      <c r="H43" s="156"/>
      <c r="I43" s="15">
        <v>0</v>
      </c>
      <c r="J43" s="5"/>
      <c r="K43" s="1"/>
    </row>
    <row r="44" spans="2:11" x14ac:dyDescent="0.25">
      <c r="B44" s="19" t="s">
        <v>35</v>
      </c>
      <c r="C44" s="20">
        <f>SUM(C42:C43)</f>
        <v>1700000</v>
      </c>
      <c r="D44" s="13"/>
      <c r="E44" s="20">
        <f>SUM(E42:E43)</f>
        <v>1700000</v>
      </c>
      <c r="F44" s="124"/>
      <c r="G44" s="20">
        <f>SUM(G42:G43)</f>
        <v>0</v>
      </c>
      <c r="H44" s="156"/>
      <c r="I44" s="20">
        <f>SUM(I42:I43)</f>
        <v>0</v>
      </c>
      <c r="J44" s="5"/>
      <c r="K44" s="1"/>
    </row>
    <row r="45" spans="2:11" x14ac:dyDescent="0.25">
      <c r="B45" s="5"/>
      <c r="C45" s="7"/>
      <c r="D45" s="6"/>
      <c r="E45" s="7"/>
      <c r="F45" s="7"/>
      <c r="G45" s="7"/>
      <c r="H45" s="156"/>
      <c r="I45" s="7"/>
      <c r="J45" s="5"/>
    </row>
    <row r="46" spans="2:11" x14ac:dyDescent="0.25">
      <c r="C46" s="7"/>
      <c r="D46" s="6"/>
      <c r="E46" s="7"/>
      <c r="F46" s="7"/>
      <c r="G46" s="7"/>
      <c r="H46" s="156"/>
      <c r="I46" s="7"/>
      <c r="J46" s="5"/>
    </row>
    <row r="47" spans="2:11" x14ac:dyDescent="0.25">
      <c r="B47" s="2" t="s">
        <v>176</v>
      </c>
      <c r="C47" s="7"/>
      <c r="D47" s="6"/>
      <c r="E47" s="7"/>
      <c r="F47" s="7"/>
      <c r="G47" s="7"/>
      <c r="H47" s="156"/>
      <c r="I47" s="7"/>
      <c r="J47" s="5"/>
    </row>
    <row r="48" spans="2:11" x14ac:dyDescent="0.25">
      <c r="B48" s="2" t="s">
        <v>177</v>
      </c>
      <c r="C48" s="18">
        <f>+C39+C44</f>
        <v>1332912.1400000043</v>
      </c>
      <c r="D48" s="18"/>
      <c r="E48" s="18">
        <f>+E39+E44</f>
        <v>79497</v>
      </c>
      <c r="F48" s="18"/>
      <c r="G48" s="18">
        <f>+G39+G44</f>
        <v>119884</v>
      </c>
      <c r="H48" s="156"/>
      <c r="I48" s="18">
        <f>+I39+I44</f>
        <v>394841</v>
      </c>
      <c r="J48" s="5"/>
    </row>
    <row r="49" spans="1:13" x14ac:dyDescent="0.25">
      <c r="B49" s="5"/>
      <c r="C49" s="15"/>
      <c r="D49" s="15"/>
      <c r="E49" s="15"/>
      <c r="F49" s="15"/>
      <c r="G49" s="15"/>
      <c r="H49" s="156"/>
      <c r="I49" s="15"/>
      <c r="J49" s="5"/>
    </row>
    <row r="50" spans="1:13" x14ac:dyDescent="0.25">
      <c r="B50" s="14" t="s">
        <v>39</v>
      </c>
      <c r="C50" s="86">
        <v>1162731</v>
      </c>
      <c r="D50" s="18"/>
      <c r="E50" s="15">
        <f>+C51</f>
        <v>2495643.1400000043</v>
      </c>
      <c r="F50" s="15"/>
      <c r="G50" s="15">
        <f>+C51</f>
        <v>2495643.1400000043</v>
      </c>
      <c r="H50" s="156"/>
      <c r="I50" s="15">
        <f>+E51</f>
        <v>2575140.1400000043</v>
      </c>
      <c r="J50" s="5"/>
    </row>
    <row r="51" spans="1:13" ht="15.75" thickBot="1" x14ac:dyDescent="0.3">
      <c r="B51" s="2" t="s">
        <v>40</v>
      </c>
      <c r="C51" s="144">
        <f>SUM(C48:C50)</f>
        <v>2495643.1400000043</v>
      </c>
      <c r="D51" s="21"/>
      <c r="E51" s="144">
        <f>SUM(E48:E50)</f>
        <v>2575140.1400000043</v>
      </c>
      <c r="F51" s="21"/>
      <c r="G51" s="144">
        <f>SUM(G48:G50)</f>
        <v>2615527.1400000043</v>
      </c>
      <c r="H51" s="156"/>
      <c r="I51" s="144">
        <f>SUM(I48:I50)</f>
        <v>2969981.1400000043</v>
      </c>
      <c r="J51" s="5"/>
    </row>
    <row r="52" spans="1:13" ht="15.75" thickTop="1" x14ac:dyDescent="0.25">
      <c r="B52" s="5"/>
      <c r="C52" s="7"/>
      <c r="D52" s="6"/>
      <c r="E52" s="7"/>
      <c r="F52" s="7"/>
      <c r="G52" s="7"/>
      <c r="H52" s="156"/>
      <c r="I52" s="7"/>
      <c r="J52" s="5"/>
    </row>
    <row r="53" spans="1:13" x14ac:dyDescent="0.25">
      <c r="D53" s="84"/>
      <c r="I53" s="4"/>
      <c r="J53" s="84"/>
    </row>
    <row r="54" spans="1:13" x14ac:dyDescent="0.25">
      <c r="D54" s="84"/>
      <c r="I54" s="4"/>
      <c r="J54" s="84"/>
    </row>
    <row r="55" spans="1:13" x14ac:dyDescent="0.25">
      <c r="A55" s="283" t="s">
        <v>217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41"/>
      <c r="L55" s="241"/>
      <c r="M55" s="241"/>
    </row>
    <row r="56" spans="1:13" x14ac:dyDescent="0.25">
      <c r="D56" s="84"/>
      <c r="I56" s="4"/>
      <c r="J56" s="84"/>
    </row>
    <row r="57" spans="1:13" x14ac:dyDescent="0.25">
      <c r="D57" s="84"/>
      <c r="I57" s="4"/>
      <c r="J57" s="84"/>
    </row>
    <row r="58" spans="1:13" x14ac:dyDescent="0.25">
      <c r="D58" s="84"/>
      <c r="I58" s="4"/>
      <c r="J58" s="84"/>
    </row>
    <row r="59" spans="1:13" x14ac:dyDescent="0.25">
      <c r="D59" s="84"/>
      <c r="J59" s="84"/>
    </row>
    <row r="60" spans="1:13" x14ac:dyDescent="0.25">
      <c r="D60" s="84"/>
      <c r="J60" s="84"/>
    </row>
    <row r="61" spans="1:13" x14ac:dyDescent="0.25">
      <c r="D61" s="84"/>
      <c r="J61" s="84"/>
    </row>
    <row r="62" spans="1:13" x14ac:dyDescent="0.25">
      <c r="D62" s="84"/>
      <c r="J62" s="84"/>
    </row>
    <row r="63" spans="1:13" x14ac:dyDescent="0.25">
      <c r="D63" s="84"/>
      <c r="J63" s="84"/>
    </row>
    <row r="64" spans="1:13" x14ac:dyDescent="0.25">
      <c r="D64" s="84"/>
      <c r="J64" s="84"/>
    </row>
    <row r="65" spans="4:11" x14ac:dyDescent="0.25">
      <c r="D65" s="84"/>
      <c r="J65" s="84"/>
    </row>
    <row r="66" spans="4:11" x14ac:dyDescent="0.25">
      <c r="D66" s="84"/>
      <c r="J66" s="84"/>
    </row>
    <row r="67" spans="4:11" x14ac:dyDescent="0.25">
      <c r="D67" s="84"/>
      <c r="J67" s="84"/>
    </row>
    <row r="68" spans="4:11" x14ac:dyDescent="0.25">
      <c r="D68" s="84"/>
      <c r="J68" s="84"/>
    </row>
    <row r="69" spans="4:11" x14ac:dyDescent="0.25">
      <c r="D69" s="84"/>
      <c r="J69" s="84"/>
    </row>
    <row r="70" spans="4:11" x14ac:dyDescent="0.25">
      <c r="D70" s="84"/>
      <c r="J70" s="84"/>
    </row>
    <row r="71" spans="4:11" x14ac:dyDescent="0.25">
      <c r="D71" s="84"/>
      <c r="J71" s="84"/>
    </row>
    <row r="72" spans="4:11" x14ac:dyDescent="0.25">
      <c r="D72" s="84"/>
      <c r="J72" s="84"/>
    </row>
    <row r="73" spans="4:11" x14ac:dyDescent="0.25">
      <c r="D73" s="84"/>
      <c r="J73" s="84"/>
    </row>
    <row r="74" spans="4:11" x14ac:dyDescent="0.25">
      <c r="D74" s="84"/>
      <c r="J74" s="84"/>
    </row>
    <row r="75" spans="4:11" x14ac:dyDescent="0.25">
      <c r="D75" s="84"/>
      <c r="J75" s="84"/>
    </row>
    <row r="76" spans="4:11" x14ac:dyDescent="0.25">
      <c r="D76" s="84"/>
      <c r="J76" s="84"/>
    </row>
    <row r="77" spans="4:11" x14ac:dyDescent="0.25">
      <c r="D77" s="84"/>
      <c r="J77" s="84"/>
      <c r="K77" s="31" t="str">
        <f>IF(C77=0,"n/a",(+I77-C77)/C77)</f>
        <v>n/a</v>
      </c>
    </row>
    <row r="78" spans="4:11" x14ac:dyDescent="0.25">
      <c r="D78" s="84"/>
      <c r="J78" s="84"/>
      <c r="K78" s="173" t="str">
        <f>IF(C78=0,"n/a",(+I78-C78)/C78)</f>
        <v>n/a</v>
      </c>
    </row>
    <row r="79" spans="4:11" x14ac:dyDescent="0.25">
      <c r="D79" s="84"/>
      <c r="J79" s="84"/>
    </row>
    <row r="80" spans="4:11" x14ac:dyDescent="0.25">
      <c r="D80" s="84"/>
      <c r="J80" s="84"/>
    </row>
    <row r="81" spans="4:10" x14ac:dyDescent="0.25">
      <c r="D81" s="84"/>
      <c r="J81" s="84"/>
    </row>
    <row r="82" spans="4:10" x14ac:dyDescent="0.25">
      <c r="D82" s="84"/>
      <c r="J82" s="84"/>
    </row>
    <row r="83" spans="4:10" x14ac:dyDescent="0.25">
      <c r="D83" s="84"/>
      <c r="J83" s="84"/>
    </row>
    <row r="84" spans="4:10" x14ac:dyDescent="0.25">
      <c r="D84" s="84"/>
      <c r="J84" s="84"/>
    </row>
    <row r="85" spans="4:10" x14ac:dyDescent="0.25">
      <c r="D85" s="84"/>
      <c r="J85" s="84"/>
    </row>
    <row r="86" spans="4:10" x14ac:dyDescent="0.25">
      <c r="D86" s="84"/>
      <c r="J86" s="84"/>
    </row>
    <row r="87" spans="4:10" x14ac:dyDescent="0.25">
      <c r="D87" s="84"/>
      <c r="J87" s="84"/>
    </row>
    <row r="88" spans="4:10" x14ac:dyDescent="0.25">
      <c r="D88" s="84"/>
      <c r="J88" s="84"/>
    </row>
    <row r="89" spans="4:10" x14ac:dyDescent="0.25">
      <c r="D89" s="84"/>
      <c r="J89" s="84"/>
    </row>
    <row r="90" spans="4:10" x14ac:dyDescent="0.25">
      <c r="D90" s="84"/>
      <c r="J90" s="84"/>
    </row>
    <row r="91" spans="4:10" x14ac:dyDescent="0.25">
      <c r="D91" s="84"/>
      <c r="J91" s="84"/>
    </row>
    <row r="92" spans="4:10" x14ac:dyDescent="0.25">
      <c r="D92" s="84"/>
      <c r="J92" s="84"/>
    </row>
    <row r="93" spans="4:10" x14ac:dyDescent="0.25">
      <c r="D93" s="84"/>
      <c r="J93" s="84"/>
    </row>
    <row r="94" spans="4:10" x14ac:dyDescent="0.25">
      <c r="D94" s="84"/>
      <c r="J94" s="84"/>
    </row>
    <row r="95" spans="4:10" x14ac:dyDescent="0.25">
      <c r="D95" s="84"/>
      <c r="J95" s="84"/>
    </row>
    <row r="96" spans="4:10" x14ac:dyDescent="0.25">
      <c r="D96" s="84"/>
      <c r="J96" s="84"/>
    </row>
    <row r="97" spans="4:10" x14ac:dyDescent="0.25">
      <c r="D97" s="84"/>
      <c r="J97" s="84"/>
    </row>
    <row r="98" spans="4:10" x14ac:dyDescent="0.25">
      <c r="D98" s="84"/>
      <c r="J98" s="84"/>
    </row>
    <row r="99" spans="4:10" x14ac:dyDescent="0.25">
      <c r="D99" s="84"/>
      <c r="J99" s="84"/>
    </row>
    <row r="100" spans="4:10" x14ac:dyDescent="0.25">
      <c r="D100" s="84"/>
      <c r="J100" s="84"/>
    </row>
    <row r="101" spans="4:10" x14ac:dyDescent="0.25">
      <c r="D101" s="84"/>
      <c r="J101" s="84"/>
    </row>
    <row r="102" spans="4:10" x14ac:dyDescent="0.25">
      <c r="D102" s="84"/>
      <c r="J102" s="84"/>
    </row>
    <row r="103" spans="4:10" x14ac:dyDescent="0.25">
      <c r="D103" s="84"/>
      <c r="J103" s="84"/>
    </row>
    <row r="104" spans="4:10" x14ac:dyDescent="0.25">
      <c r="D104" s="84"/>
      <c r="J104" s="84"/>
    </row>
    <row r="105" spans="4:10" x14ac:dyDescent="0.25">
      <c r="D105" s="84"/>
      <c r="J105" s="84"/>
    </row>
    <row r="115" spans="11:11" x14ac:dyDescent="0.25">
      <c r="K115" s="166" t="str">
        <f>IF(C115=0,"n/a",(+I115-C115)/C115)</f>
        <v>n/a</v>
      </c>
    </row>
  </sheetData>
  <mergeCells count="4">
    <mergeCell ref="B1:I1"/>
    <mergeCell ref="B2:I2"/>
    <mergeCell ref="B3:I3"/>
    <mergeCell ref="A55:J55"/>
  </mergeCells>
  <pageMargins left="0.7" right="0.7" top="0.75" bottom="0.75" header="0.3" footer="0.3"/>
  <pageSetup scale="85" firstPageNumber="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workbookViewId="0">
      <selection activeCell="A53" sqref="A53"/>
    </sheetView>
  </sheetViews>
  <sheetFormatPr defaultRowHeight="15" x14ac:dyDescent="0.25"/>
  <cols>
    <col min="1" max="1" width="3.7109375" style="31" customWidth="1"/>
    <col min="2" max="2" width="40.42578125" style="31" customWidth="1"/>
    <col min="3" max="3" width="14" style="84" customWidth="1"/>
    <col min="4" max="4" width="2" style="84" customWidth="1"/>
    <col min="5" max="5" width="14.28515625" style="84" customWidth="1"/>
    <col min="6" max="6" width="2.7109375" style="84" customWidth="1"/>
    <col min="7" max="7" width="13.140625" style="84" hidden="1" customWidth="1"/>
    <col min="8" max="8" width="2.7109375" style="84" hidden="1" customWidth="1"/>
    <col min="9" max="9" width="14" style="84" bestFit="1" customWidth="1"/>
    <col min="10" max="12" width="9.140625" style="31"/>
    <col min="13" max="13" width="10" style="31" bestFit="1" customWidth="1"/>
    <col min="14" max="16384" width="9.140625" style="31"/>
  </cols>
  <sheetData>
    <row r="1" spans="1:17" x14ac:dyDescent="0.25">
      <c r="B1" s="282" t="s">
        <v>0</v>
      </c>
      <c r="C1" s="282"/>
      <c r="D1" s="282"/>
      <c r="E1" s="282"/>
      <c r="F1" s="282"/>
      <c r="G1" s="282"/>
      <c r="H1" s="282"/>
      <c r="I1" s="282"/>
    </row>
    <row r="2" spans="1:17" x14ac:dyDescent="0.25">
      <c r="A2" s="282" t="s">
        <v>140</v>
      </c>
      <c r="B2" s="282"/>
      <c r="C2" s="282"/>
      <c r="D2" s="282"/>
      <c r="E2" s="282"/>
      <c r="F2" s="282"/>
      <c r="G2" s="282"/>
      <c r="H2" s="282"/>
      <c r="I2" s="282"/>
      <c r="L2" s="84"/>
      <c r="M2" s="84"/>
      <c r="N2" s="84"/>
      <c r="O2" s="84"/>
      <c r="P2" s="84"/>
      <c r="Q2" s="84"/>
    </row>
    <row r="3" spans="1:17" x14ac:dyDescent="0.25">
      <c r="B3" s="288"/>
      <c r="C3" s="288"/>
      <c r="D3" s="288"/>
      <c r="E3" s="288"/>
      <c r="F3" s="288"/>
      <c r="G3" s="288"/>
      <c r="H3" s="288"/>
      <c r="I3" s="288"/>
      <c r="L3" s="84"/>
      <c r="M3" s="84"/>
      <c r="N3" s="84"/>
      <c r="O3" s="84"/>
      <c r="P3" s="84"/>
      <c r="Q3" s="84"/>
    </row>
    <row r="4" spans="1:17" x14ac:dyDescent="0.25">
      <c r="B4" s="23" t="s">
        <v>209</v>
      </c>
      <c r="C4" s="197">
        <v>0.43673000000000001</v>
      </c>
      <c r="D4" s="23"/>
      <c r="E4" s="197">
        <v>0.38</v>
      </c>
      <c r="F4" s="23"/>
      <c r="G4" s="197">
        <v>0.38</v>
      </c>
      <c r="H4" s="13"/>
      <c r="I4" s="197">
        <v>0.36749999999999999</v>
      </c>
      <c r="L4" s="84"/>
      <c r="M4" s="84"/>
      <c r="N4" s="84"/>
      <c r="O4" s="84"/>
      <c r="P4" s="84"/>
      <c r="Q4" s="84"/>
    </row>
    <row r="5" spans="1:17" x14ac:dyDescent="0.25">
      <c r="B5" s="8"/>
      <c r="C5" s="8"/>
      <c r="D5" s="8"/>
      <c r="E5" s="8"/>
      <c r="F5" s="8"/>
      <c r="G5" s="8"/>
      <c r="H5" s="6"/>
      <c r="I5" s="7"/>
      <c r="L5" s="84"/>
      <c r="M5" s="84"/>
      <c r="N5" s="84"/>
      <c r="O5" s="84"/>
      <c r="P5" s="84"/>
      <c r="Q5" s="84"/>
    </row>
    <row r="6" spans="1:17" x14ac:dyDescent="0.25">
      <c r="B6" s="9"/>
      <c r="C6" s="160"/>
      <c r="D6" s="5"/>
      <c r="E6" s="160" t="s">
        <v>205</v>
      </c>
      <c r="F6" s="160"/>
      <c r="G6" s="160" t="s">
        <v>54</v>
      </c>
      <c r="H6" s="161"/>
      <c r="I6" s="154" t="s">
        <v>205</v>
      </c>
      <c r="L6" s="84"/>
      <c r="M6" s="84"/>
      <c r="N6" s="84"/>
      <c r="O6" s="84"/>
      <c r="P6" s="84"/>
      <c r="Q6" s="84"/>
    </row>
    <row r="7" spans="1:17" x14ac:dyDescent="0.25">
      <c r="B7" s="9"/>
      <c r="C7" s="160" t="s">
        <v>1</v>
      </c>
      <c r="D7" s="161"/>
      <c r="E7" s="160" t="s">
        <v>3</v>
      </c>
      <c r="F7" s="160"/>
      <c r="G7" s="195" t="s">
        <v>55</v>
      </c>
      <c r="H7" s="156"/>
      <c r="I7" s="160" t="s">
        <v>3</v>
      </c>
      <c r="L7" s="84"/>
      <c r="M7" s="84"/>
      <c r="N7" s="84"/>
      <c r="O7" s="84"/>
      <c r="P7" s="84"/>
      <c r="Q7" s="84"/>
    </row>
    <row r="8" spans="1:17" x14ac:dyDescent="0.25">
      <c r="B8" s="5"/>
      <c r="C8" s="162" t="s">
        <v>183</v>
      </c>
      <c r="D8" s="163"/>
      <c r="E8" s="162" t="s">
        <v>189</v>
      </c>
      <c r="F8" s="123"/>
      <c r="G8" s="162" t="s">
        <v>189</v>
      </c>
      <c r="H8" s="156"/>
      <c r="I8" s="162" t="s">
        <v>193</v>
      </c>
      <c r="L8" s="84"/>
      <c r="M8" s="84"/>
      <c r="N8" s="84"/>
      <c r="O8" s="84"/>
      <c r="P8" s="84"/>
      <c r="Q8" s="84"/>
    </row>
    <row r="9" spans="1:17" x14ac:dyDescent="0.25">
      <c r="A9" s="2" t="s">
        <v>5</v>
      </c>
      <c r="C9" s="7"/>
      <c r="D9" s="6"/>
      <c r="E9" s="7"/>
      <c r="F9" s="7"/>
      <c r="G9" s="7"/>
      <c r="H9" s="156"/>
      <c r="I9" s="7"/>
      <c r="L9" s="84"/>
      <c r="M9" s="84"/>
      <c r="N9" s="84"/>
      <c r="O9" s="84"/>
      <c r="P9" s="84"/>
      <c r="Q9" s="84"/>
    </row>
    <row r="10" spans="1:17" x14ac:dyDescent="0.25">
      <c r="A10" s="2" t="s">
        <v>129</v>
      </c>
      <c r="C10" s="7"/>
      <c r="D10" s="6"/>
      <c r="E10" s="7"/>
      <c r="F10" s="7"/>
      <c r="G10" s="7"/>
      <c r="H10" s="156"/>
      <c r="I10" s="7"/>
      <c r="J10" s="167"/>
      <c r="L10" s="84"/>
      <c r="M10" s="84"/>
      <c r="N10" s="84"/>
      <c r="O10" s="84"/>
      <c r="P10" s="84"/>
      <c r="Q10" s="84"/>
    </row>
    <row r="11" spans="1:17" x14ac:dyDescent="0.25">
      <c r="B11" s="14" t="s">
        <v>141</v>
      </c>
      <c r="C11" s="27">
        <v>126623380</v>
      </c>
      <c r="D11" s="27"/>
      <c r="E11" s="27">
        <v>122293111</v>
      </c>
      <c r="F11" s="27"/>
      <c r="G11" s="27">
        <v>124293111</v>
      </c>
      <c r="H11" s="157"/>
      <c r="I11" s="27">
        <v>130058891</v>
      </c>
      <c r="J11" s="167">
        <f>+I11/I$22</f>
        <v>0.98229577652340361</v>
      </c>
      <c r="L11" s="84"/>
      <c r="M11" s="84"/>
      <c r="N11" s="84"/>
      <c r="O11" s="84"/>
      <c r="P11" s="84"/>
      <c r="Q11" s="84"/>
    </row>
    <row r="12" spans="1:17" x14ac:dyDescent="0.25">
      <c r="B12" s="14" t="s">
        <v>142</v>
      </c>
      <c r="C12" s="26">
        <v>1080404</v>
      </c>
      <c r="D12" s="27"/>
      <c r="E12" s="26">
        <v>500000</v>
      </c>
      <c r="F12" s="26"/>
      <c r="G12" s="26">
        <v>909867</v>
      </c>
      <c r="H12" s="157"/>
      <c r="I12" s="26">
        <v>100000</v>
      </c>
      <c r="J12" s="167">
        <f t="shared" ref="J12:J22" si="0">+I12/I$22</f>
        <v>7.5526999267078448E-4</v>
      </c>
      <c r="L12" s="84"/>
      <c r="M12" s="84"/>
      <c r="N12" s="84"/>
      <c r="O12" s="84"/>
      <c r="P12" s="84"/>
      <c r="Q12" s="84"/>
    </row>
    <row r="13" spans="1:17" x14ac:dyDescent="0.25">
      <c r="B13" s="14" t="s">
        <v>143</v>
      </c>
      <c r="C13" s="26">
        <v>577828</v>
      </c>
      <c r="D13" s="27"/>
      <c r="E13" s="26">
        <v>325000</v>
      </c>
      <c r="F13" s="26"/>
      <c r="G13" s="26">
        <v>478185</v>
      </c>
      <c r="H13" s="157"/>
      <c r="I13" s="26">
        <v>100000</v>
      </c>
      <c r="J13" s="167">
        <f t="shared" si="0"/>
        <v>7.5526999267078448E-4</v>
      </c>
      <c r="L13" s="84"/>
      <c r="M13" s="84"/>
      <c r="N13" s="84"/>
      <c r="O13" s="84"/>
      <c r="P13" s="84"/>
      <c r="Q13" s="84"/>
    </row>
    <row r="14" spans="1:17" x14ac:dyDescent="0.25">
      <c r="B14" s="14" t="s">
        <v>144</v>
      </c>
      <c r="C14" s="26">
        <v>291079</v>
      </c>
      <c r="D14" s="27"/>
      <c r="E14" s="26">
        <v>50000</v>
      </c>
      <c r="F14" s="26"/>
      <c r="G14" s="26">
        <v>510745</v>
      </c>
      <c r="H14" s="157"/>
      <c r="I14" s="26">
        <v>50000</v>
      </c>
      <c r="J14" s="167">
        <f t="shared" si="0"/>
        <v>3.7763499633539224E-4</v>
      </c>
      <c r="L14" s="84"/>
      <c r="M14" s="84"/>
      <c r="N14" s="84"/>
      <c r="O14" s="84"/>
      <c r="P14" s="84"/>
      <c r="Q14" s="84"/>
    </row>
    <row r="15" spans="1:17" x14ac:dyDescent="0.25">
      <c r="B15" s="14"/>
      <c r="C15" s="26"/>
      <c r="D15" s="27"/>
      <c r="E15" s="26"/>
      <c r="F15" s="26"/>
      <c r="G15" s="26"/>
      <c r="H15" s="157"/>
      <c r="I15" s="26"/>
      <c r="J15" s="167"/>
      <c r="L15" s="84"/>
      <c r="M15" s="84"/>
      <c r="N15" s="84"/>
      <c r="O15" s="84"/>
      <c r="P15" s="84"/>
      <c r="Q15" s="84"/>
    </row>
    <row r="16" spans="1:17" s="166" customFormat="1" x14ac:dyDescent="0.25">
      <c r="A16" s="2" t="s">
        <v>130</v>
      </c>
      <c r="B16" s="14"/>
      <c r="C16" s="26"/>
      <c r="D16" s="27"/>
      <c r="E16" s="26"/>
      <c r="F16" s="26"/>
      <c r="G16" s="26"/>
      <c r="H16" s="157"/>
      <c r="I16" s="26"/>
      <c r="J16" s="167"/>
      <c r="L16" s="84"/>
      <c r="M16" s="84"/>
      <c r="N16" s="84"/>
      <c r="O16" s="84"/>
      <c r="P16" s="84"/>
      <c r="Q16" s="84"/>
    </row>
    <row r="17" spans="1:17" s="166" customFormat="1" x14ac:dyDescent="0.25">
      <c r="B17" s="14" t="s">
        <v>188</v>
      </c>
      <c r="C17" s="26">
        <v>2196351</v>
      </c>
      <c r="D17" s="27"/>
      <c r="E17" s="26">
        <v>2292127</v>
      </c>
      <c r="F17" s="26"/>
      <c r="G17" s="26">
        <v>2292127</v>
      </c>
      <c r="H17" s="157"/>
      <c r="I17" s="26">
        <v>1603758</v>
      </c>
      <c r="J17" s="167">
        <f t="shared" si="0"/>
        <v>1.2112702929057119E-2</v>
      </c>
      <c r="L17" s="84"/>
      <c r="M17" s="84"/>
      <c r="N17" s="84"/>
      <c r="O17" s="84"/>
      <c r="P17" s="84"/>
      <c r="Q17" s="84"/>
    </row>
    <row r="18" spans="1:17" s="166" customFormat="1" x14ac:dyDescent="0.25">
      <c r="B18" s="14"/>
      <c r="C18" s="26"/>
      <c r="D18" s="27"/>
      <c r="E18" s="26"/>
      <c r="F18" s="26"/>
      <c r="G18" s="26"/>
      <c r="H18" s="157"/>
      <c r="I18" s="26"/>
      <c r="J18" s="167"/>
      <c r="L18" s="84"/>
      <c r="M18" s="84"/>
      <c r="N18" s="84"/>
      <c r="O18" s="84"/>
      <c r="P18" s="84"/>
      <c r="Q18" s="84"/>
    </row>
    <row r="19" spans="1:17" x14ac:dyDescent="0.25">
      <c r="A19" s="2" t="s">
        <v>173</v>
      </c>
      <c r="B19" s="14"/>
      <c r="C19" s="26"/>
      <c r="D19" s="27"/>
      <c r="E19" s="26"/>
      <c r="F19" s="26"/>
      <c r="G19" s="26"/>
      <c r="H19" s="157"/>
      <c r="I19" s="26"/>
      <c r="J19" s="167"/>
      <c r="L19" s="84"/>
      <c r="M19" s="84"/>
      <c r="N19" s="84"/>
      <c r="O19" s="84"/>
      <c r="P19" s="84"/>
      <c r="Q19" s="84"/>
    </row>
    <row r="20" spans="1:17" x14ac:dyDescent="0.25">
      <c r="B20" s="155" t="s">
        <v>174</v>
      </c>
      <c r="C20" s="26">
        <v>490333</v>
      </c>
      <c r="D20" s="27"/>
      <c r="E20" s="26">
        <v>490334</v>
      </c>
      <c r="F20" s="26"/>
      <c r="G20" s="26">
        <v>490334</v>
      </c>
      <c r="H20" s="157"/>
      <c r="I20" s="26">
        <v>490334</v>
      </c>
      <c r="J20" s="167">
        <f t="shared" si="0"/>
        <v>3.7033455658623642E-3</v>
      </c>
      <c r="L20" s="84"/>
      <c r="M20" s="84"/>
      <c r="N20" s="84"/>
      <c r="O20" s="84"/>
      <c r="P20" s="84"/>
      <c r="Q20" s="84"/>
    </row>
    <row r="21" spans="1:17" x14ac:dyDescent="0.25">
      <c r="B21" s="14"/>
      <c r="C21" s="26"/>
      <c r="D21" s="7"/>
      <c r="E21" s="26"/>
      <c r="F21" s="26"/>
      <c r="G21" s="26"/>
      <c r="H21" s="156"/>
      <c r="I21" s="26"/>
      <c r="J21" s="167"/>
      <c r="L21" s="84"/>
      <c r="M21" s="84"/>
      <c r="N21" s="84"/>
      <c r="O21" s="84"/>
      <c r="P21" s="84"/>
      <c r="Q21" s="84"/>
    </row>
    <row r="22" spans="1:17" x14ac:dyDescent="0.25">
      <c r="B22" s="127" t="s">
        <v>139</v>
      </c>
      <c r="C22" s="17">
        <f>SUM(C11:C21)</f>
        <v>131259375</v>
      </c>
      <c r="D22" s="13"/>
      <c r="E22" s="17">
        <f>SUM(E11:E21)</f>
        <v>125950572</v>
      </c>
      <c r="F22" s="13"/>
      <c r="G22" s="17">
        <f>SUM(G11:G21)</f>
        <v>128974369</v>
      </c>
      <c r="H22" s="156"/>
      <c r="I22" s="17">
        <f>SUM(I11:I21)</f>
        <v>132402983</v>
      </c>
      <c r="J22" s="167">
        <f t="shared" si="0"/>
        <v>1</v>
      </c>
    </row>
    <row r="23" spans="1:17" x14ac:dyDescent="0.25">
      <c r="B23" s="5"/>
      <c r="C23" s="7"/>
      <c r="D23" s="6"/>
      <c r="E23" s="7"/>
      <c r="F23" s="7"/>
      <c r="G23" s="7"/>
      <c r="H23" s="156"/>
      <c r="I23" s="7"/>
      <c r="J23" s="167"/>
    </row>
    <row r="24" spans="1:17" x14ac:dyDescent="0.25">
      <c r="A24" s="2" t="s">
        <v>7</v>
      </c>
      <c r="C24" s="7"/>
      <c r="D24" s="6"/>
      <c r="E24" s="7"/>
      <c r="F24" s="7"/>
      <c r="G24" s="7"/>
      <c r="H24" s="156"/>
      <c r="I24" s="7"/>
      <c r="J24" s="167"/>
    </row>
    <row r="25" spans="1:17" x14ac:dyDescent="0.25">
      <c r="B25" s="16" t="s">
        <v>145</v>
      </c>
      <c r="C25" s="26">
        <v>55146452</v>
      </c>
      <c r="D25" s="26"/>
      <c r="E25" s="26">
        <v>59043385</v>
      </c>
      <c r="F25" s="26"/>
      <c r="G25" s="26">
        <v>60063384</v>
      </c>
      <c r="H25" s="26"/>
      <c r="I25" s="26">
        <v>74855515</v>
      </c>
      <c r="J25" s="167">
        <f>+I25/I$28</f>
        <v>0.56978153749559557</v>
      </c>
    </row>
    <row r="26" spans="1:17" x14ac:dyDescent="0.25">
      <c r="B26" s="16" t="s">
        <v>146</v>
      </c>
      <c r="C26" s="164">
        <v>65722813</v>
      </c>
      <c r="D26" s="26"/>
      <c r="E26" s="26">
        <v>57939385</v>
      </c>
      <c r="F26" s="26"/>
      <c r="G26" s="26">
        <f>22221481+34204609</f>
        <v>56426090</v>
      </c>
      <c r="H26" s="26"/>
      <c r="I26" s="26">
        <v>56320302</v>
      </c>
      <c r="J26" s="167">
        <f t="shared" ref="J26:J28" si="1">+I26/I$28</f>
        <v>0.42869611231418642</v>
      </c>
    </row>
    <row r="27" spans="1:17" x14ac:dyDescent="0.25">
      <c r="B27" s="16" t="s">
        <v>147</v>
      </c>
      <c r="C27" s="26">
        <v>131015056</v>
      </c>
      <c r="D27" s="26"/>
      <c r="E27" s="26">
        <v>200000</v>
      </c>
      <c r="F27" s="26"/>
      <c r="G27" s="26">
        <v>131014578</v>
      </c>
      <c r="H27" s="26"/>
      <c r="I27" s="26">
        <v>200000</v>
      </c>
      <c r="J27" s="167">
        <f t="shared" si="1"/>
        <v>1.5223501902180369E-3</v>
      </c>
    </row>
    <row r="28" spans="1:17" x14ac:dyDescent="0.25">
      <c r="B28" s="2" t="s">
        <v>29</v>
      </c>
      <c r="C28" s="28">
        <f>SUM(C25:C27)</f>
        <v>251884321</v>
      </c>
      <c r="D28" s="29"/>
      <c r="E28" s="28">
        <f>SUM(E25:E27)</f>
        <v>117182770</v>
      </c>
      <c r="F28" s="29"/>
      <c r="G28" s="28">
        <f>SUM(G25:G27)</f>
        <v>247504052</v>
      </c>
      <c r="H28" s="164"/>
      <c r="I28" s="28">
        <f>SUM(I25:I27)</f>
        <v>131375817</v>
      </c>
      <c r="J28" s="167">
        <f t="shared" si="1"/>
        <v>1</v>
      </c>
      <c r="M28" s="177"/>
    </row>
    <row r="29" spans="1:17" x14ac:dyDescent="0.25">
      <c r="B29" s="5"/>
      <c r="C29" s="7"/>
      <c r="D29" s="6"/>
      <c r="E29" s="7"/>
      <c r="F29" s="7"/>
      <c r="G29" s="7"/>
      <c r="H29" s="156"/>
      <c r="I29" s="7"/>
      <c r="J29" s="167"/>
    </row>
    <row r="30" spans="1:17" x14ac:dyDescent="0.25">
      <c r="B30" s="5"/>
      <c r="C30" s="7"/>
      <c r="D30" s="6"/>
      <c r="E30" s="7"/>
      <c r="F30" s="7"/>
      <c r="G30" s="7"/>
      <c r="H30" s="156"/>
      <c r="I30" s="7"/>
      <c r="J30" s="167"/>
    </row>
    <row r="31" spans="1:17" x14ac:dyDescent="0.25">
      <c r="B31" s="2" t="s">
        <v>30</v>
      </c>
      <c r="C31" s="7"/>
      <c r="D31" s="6"/>
      <c r="E31" s="7"/>
      <c r="F31" s="7"/>
      <c r="G31" s="7"/>
      <c r="H31" s="156"/>
      <c r="I31" s="7"/>
      <c r="J31" s="167"/>
    </row>
    <row r="32" spans="1:17" x14ac:dyDescent="0.25">
      <c r="B32" s="2" t="s">
        <v>31</v>
      </c>
      <c r="C32" s="30">
        <f>+C22-C28</f>
        <v>-120624946</v>
      </c>
      <c r="D32" s="6"/>
      <c r="E32" s="30">
        <f>+E22-E28</f>
        <v>8767802</v>
      </c>
      <c r="F32" s="124"/>
      <c r="G32" s="30">
        <f>+G22-G28</f>
        <v>-118529683</v>
      </c>
      <c r="H32" s="156"/>
      <c r="I32" s="30">
        <f>+I22-I28</f>
        <v>1027166</v>
      </c>
      <c r="J32" s="167"/>
    </row>
    <row r="33" spans="2:10" x14ac:dyDescent="0.25">
      <c r="B33" s="2"/>
      <c r="C33" s="7"/>
      <c r="D33" s="6"/>
      <c r="E33" s="7"/>
      <c r="F33" s="7"/>
      <c r="G33" s="7"/>
      <c r="H33" s="156"/>
      <c r="I33" s="7"/>
      <c r="J33" s="167"/>
    </row>
    <row r="34" spans="2:10" x14ac:dyDescent="0.25">
      <c r="B34" s="2" t="s">
        <v>32</v>
      </c>
      <c r="C34" s="7"/>
      <c r="D34" s="6"/>
      <c r="E34" s="7"/>
      <c r="F34" s="7"/>
      <c r="G34" s="7"/>
      <c r="H34" s="156"/>
      <c r="I34" s="7"/>
      <c r="J34" s="167"/>
    </row>
    <row r="35" spans="2:10" x14ac:dyDescent="0.25">
      <c r="B35" s="5" t="s">
        <v>33</v>
      </c>
      <c r="C35" s="196">
        <v>394482550</v>
      </c>
      <c r="D35" s="6"/>
      <c r="E35" s="15">
        <v>0</v>
      </c>
      <c r="F35" s="15"/>
      <c r="G35" s="15">
        <v>0</v>
      </c>
      <c r="H35" s="156"/>
      <c r="I35" s="15">
        <v>0</v>
      </c>
      <c r="J35" s="167"/>
    </row>
    <row r="36" spans="2:10" x14ac:dyDescent="0.25">
      <c r="B36" s="5" t="s">
        <v>34</v>
      </c>
      <c r="C36" s="15">
        <v>270714408</v>
      </c>
      <c r="D36" s="15"/>
      <c r="E36" s="15">
        <v>8267336</v>
      </c>
      <c r="F36" s="15"/>
      <c r="G36" s="15">
        <v>0</v>
      </c>
      <c r="H36" s="156"/>
      <c r="I36" s="15">
        <v>0</v>
      </c>
      <c r="J36" s="167"/>
    </row>
    <row r="37" spans="2:10" x14ac:dyDescent="0.25">
      <c r="B37" s="19" t="s">
        <v>35</v>
      </c>
      <c r="C37" s="20">
        <f>+C35-C36</f>
        <v>123768142</v>
      </c>
      <c r="D37" s="13"/>
      <c r="E37" s="20">
        <f>+E35-E36</f>
        <v>-8267336</v>
      </c>
      <c r="F37" s="124"/>
      <c r="G37" s="20">
        <f>+G35-G36</f>
        <v>0</v>
      </c>
      <c r="H37" s="156"/>
      <c r="I37" s="20">
        <f>+I35-I36</f>
        <v>0</v>
      </c>
      <c r="J37" s="167"/>
    </row>
    <row r="38" spans="2:10" x14ac:dyDescent="0.25">
      <c r="B38" s="5"/>
      <c r="C38" s="7"/>
      <c r="D38" s="6"/>
      <c r="E38" s="7"/>
      <c r="F38" s="7"/>
      <c r="G38" s="7"/>
      <c r="H38" s="156"/>
      <c r="I38" s="7"/>
      <c r="J38" s="167"/>
    </row>
    <row r="39" spans="2:10" x14ac:dyDescent="0.25">
      <c r="B39" s="2" t="s">
        <v>36</v>
      </c>
      <c r="C39" s="7"/>
      <c r="D39" s="6"/>
      <c r="E39" s="7"/>
      <c r="F39" s="7"/>
      <c r="G39" s="7"/>
      <c r="H39" s="156"/>
      <c r="I39" s="7"/>
      <c r="J39" s="167"/>
    </row>
    <row r="40" spans="2:10" x14ac:dyDescent="0.25">
      <c r="B40" s="2" t="s">
        <v>37</v>
      </c>
      <c r="C40" s="7"/>
      <c r="D40" s="6"/>
      <c r="E40" s="7"/>
      <c r="F40" s="7"/>
      <c r="G40" s="7"/>
      <c r="H40" s="156"/>
      <c r="I40" s="7"/>
      <c r="J40" s="167"/>
    </row>
    <row r="41" spans="2:10" x14ac:dyDescent="0.25">
      <c r="B41" s="2" t="s">
        <v>38</v>
      </c>
      <c r="C41" s="18">
        <f>+C32+C37</f>
        <v>3143196</v>
      </c>
      <c r="D41" s="18"/>
      <c r="E41" s="18">
        <f>+E32+E37</f>
        <v>500466</v>
      </c>
      <c r="F41" s="18"/>
      <c r="G41" s="18">
        <f>+G32+G37</f>
        <v>-118529683</v>
      </c>
      <c r="H41" s="156"/>
      <c r="I41" s="18">
        <f>+I32+I37</f>
        <v>1027166</v>
      </c>
    </row>
    <row r="42" spans="2:10" x14ac:dyDescent="0.25">
      <c r="B42" s="5"/>
      <c r="C42" s="15"/>
      <c r="D42" s="15"/>
      <c r="E42" s="15"/>
      <c r="F42" s="15"/>
      <c r="G42" s="15"/>
      <c r="H42" s="156"/>
      <c r="I42" s="15"/>
    </row>
    <row r="43" spans="2:10" x14ac:dyDescent="0.25">
      <c r="B43" s="14" t="s">
        <v>39</v>
      </c>
      <c r="C43" s="86">
        <v>26268608</v>
      </c>
      <c r="D43" s="18"/>
      <c r="E43" s="15">
        <f>+C44</f>
        <v>29411804</v>
      </c>
      <c r="F43" s="15"/>
      <c r="G43" s="15">
        <f>+C44</f>
        <v>29411804</v>
      </c>
      <c r="H43" s="156"/>
      <c r="I43" s="15">
        <f>+E44</f>
        <v>29912270</v>
      </c>
    </row>
    <row r="44" spans="2:10" ht="15.75" thickBot="1" x14ac:dyDescent="0.3">
      <c r="B44" s="2" t="s">
        <v>40</v>
      </c>
      <c r="C44" s="144">
        <f>SUM(C41:C43)</f>
        <v>29411804</v>
      </c>
      <c r="D44" s="21"/>
      <c r="E44" s="144">
        <f>SUM(E41:E43)</f>
        <v>29912270</v>
      </c>
      <c r="F44" s="21"/>
      <c r="G44" s="144">
        <f>SUM(G41:G43)</f>
        <v>-89117879</v>
      </c>
      <c r="H44" s="156"/>
      <c r="I44" s="144">
        <f>SUM(I41:I43)</f>
        <v>30939436</v>
      </c>
    </row>
    <row r="45" spans="2:10" ht="15.75" thickTop="1" x14ac:dyDescent="0.25">
      <c r="B45" s="5"/>
      <c r="C45" s="7"/>
      <c r="D45" s="6"/>
      <c r="E45" s="7"/>
      <c r="F45" s="7"/>
      <c r="G45" s="7"/>
      <c r="H45" s="156"/>
      <c r="I45" s="7"/>
    </row>
    <row r="46" spans="2:10" x14ac:dyDescent="0.25">
      <c r="I46" s="4"/>
    </row>
    <row r="47" spans="2:10" x14ac:dyDescent="0.25">
      <c r="I47" s="4"/>
    </row>
    <row r="48" spans="2:10" x14ac:dyDescent="0.25">
      <c r="I48" s="4"/>
    </row>
    <row r="49" spans="1:10" x14ac:dyDescent="0.25">
      <c r="I49" s="4"/>
    </row>
    <row r="50" spans="1:10" x14ac:dyDescent="0.25">
      <c r="I50" s="4"/>
    </row>
    <row r="51" spans="1:10" x14ac:dyDescent="0.25">
      <c r="I51" s="4"/>
    </row>
    <row r="52" spans="1:10" x14ac:dyDescent="0.25">
      <c r="A52" s="283" t="s">
        <v>218</v>
      </c>
      <c r="B52" s="283"/>
      <c r="C52" s="283"/>
      <c r="D52" s="283"/>
      <c r="E52" s="283"/>
      <c r="F52" s="283"/>
      <c r="G52" s="283"/>
      <c r="H52" s="283"/>
      <c r="I52" s="283"/>
      <c r="J52" s="283"/>
    </row>
  </sheetData>
  <mergeCells count="4">
    <mergeCell ref="B3:I3"/>
    <mergeCell ref="B1:I1"/>
    <mergeCell ref="A2:I2"/>
    <mergeCell ref="A52:J52"/>
  </mergeCells>
  <pageMargins left="0.7" right="0.7" top="0.75" bottom="0.75" header="0.3" footer="0.3"/>
  <pageSetup scale="85" firstPageNumber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</vt:lpstr>
      <vt:lpstr>comb funds by func</vt:lpstr>
      <vt:lpstr>Cover Supporting Sch</vt:lpstr>
      <vt:lpstr>GF by funct</vt:lpstr>
      <vt:lpstr>GF Rev</vt:lpstr>
      <vt:lpstr>GF exp by funct by maj obj</vt:lpstr>
      <vt:lpstr>GF Maj Obj</vt:lpstr>
      <vt:lpstr>FS Fund</vt:lpstr>
      <vt:lpstr>DS Fund</vt:lpstr>
      <vt:lpstr>Cover!Print_Area</vt:lpstr>
      <vt:lpstr>'Cover Supporting Sch'!Print_Area</vt:lpstr>
      <vt:lpstr>'DS Fund'!Print_Area</vt:lpstr>
      <vt:lpstr>'FS Fund'!Print_Area</vt:lpstr>
      <vt:lpstr>'GF by funct'!Print_Area</vt:lpstr>
      <vt:lpstr>'GF exp by funct by maj obj'!Print_Area</vt:lpstr>
      <vt:lpstr>'GF Rev'!Print_Area</vt:lpstr>
      <vt:lpstr>Print_Area</vt:lpstr>
    </vt:vector>
  </TitlesOfParts>
  <Company>Lewisville 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Maniscalco</dc:creator>
  <cp:lastModifiedBy>Ball, Michael</cp:lastModifiedBy>
  <cp:lastPrinted>2017-08-31T23:37:55Z</cp:lastPrinted>
  <dcterms:created xsi:type="dcterms:W3CDTF">2011-07-09T17:36:36Z</dcterms:created>
  <dcterms:modified xsi:type="dcterms:W3CDTF">2017-09-01T14:10:23Z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-499630295</vt:i4>
  </property>
  <property fmtid="{D5CDD505-2E9C-101B-9397-08002B2CF9AE}" pid="3" name="_NewReviewCycle">
    <vt:lpwstr/>
  </property>
  <property fmtid="{D5CDD505-2E9C-101B-9397-08002B2CF9AE}" pid="4" name="_EmailSubject">
    <vt:lpwstr>Adopted Budget for Web Posting</vt:lpwstr>
  </property>
  <property fmtid="{D5CDD505-2E9C-101B-9397-08002B2CF9AE}" pid="5" name="_AuthorEmail">
    <vt:lpwstr>BallM@lisd.net</vt:lpwstr>
  </property>
  <property fmtid="{D5CDD505-2E9C-101B-9397-08002B2CF9AE}" pid="6" name="_AuthorEmailDisplayName">
    <vt:lpwstr>Ball, Michael</vt:lpwstr>
  </property>
  <property fmtid="{D5CDD505-2E9C-101B-9397-08002B2CF9AE}" pid="8" name="_PreviousAdHocReviewCycleID">
    <vt:i4>-1230903080</vt:i4>
  </property>
</Properties>
</file>